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P463" i="1" l="1"/>
  <c r="P462" i="1"/>
  <c r="P461" i="1"/>
  <c r="E460" i="1"/>
  <c r="P460" i="1" s="1"/>
  <c r="O452" i="1"/>
  <c r="N452" i="1"/>
  <c r="M452" i="1"/>
  <c r="L452" i="1"/>
  <c r="K452" i="1"/>
  <c r="J452" i="1"/>
  <c r="I452" i="1"/>
  <c r="H452" i="1"/>
  <c r="G452" i="1"/>
  <c r="F452" i="1"/>
  <c r="E452" i="1"/>
  <c r="D452" i="1"/>
  <c r="O447" i="1"/>
  <c r="O464" i="1" s="1"/>
  <c r="N447" i="1"/>
  <c r="N464" i="1" s="1"/>
  <c r="M447" i="1"/>
  <c r="M464" i="1" s="1"/>
  <c r="L447" i="1"/>
  <c r="L464" i="1" s="1"/>
  <c r="K447" i="1"/>
  <c r="J447" i="1"/>
  <c r="J464" i="1" s="1"/>
  <c r="I447" i="1"/>
  <c r="I464" i="1" s="1"/>
  <c r="H447" i="1"/>
  <c r="H464" i="1" s="1"/>
  <c r="G447" i="1"/>
  <c r="G464" i="1" s="1"/>
  <c r="F447" i="1"/>
  <c r="F464" i="1" s="1"/>
  <c r="E447" i="1"/>
  <c r="E464" i="1" s="1"/>
  <c r="D447" i="1"/>
  <c r="D464" i="1" s="1"/>
  <c r="K440" i="1"/>
  <c r="E440" i="1" s="1"/>
  <c r="P440" i="1" s="1"/>
  <c r="E439" i="1"/>
  <c r="P439" i="1" s="1"/>
  <c r="P438" i="1"/>
  <c r="P437" i="1"/>
  <c r="E437" i="1"/>
  <c r="E436" i="1"/>
  <c r="P436" i="1" s="1"/>
  <c r="E435" i="1"/>
  <c r="P435" i="1" s="1"/>
  <c r="P434" i="1"/>
  <c r="P433" i="1"/>
  <c r="P432" i="1"/>
  <c r="P431" i="1"/>
  <c r="P430" i="1"/>
  <c r="P429" i="1"/>
  <c r="O428" i="1"/>
  <c r="N428" i="1"/>
  <c r="M428" i="1"/>
  <c r="M423" i="1" s="1"/>
  <c r="M441" i="1" s="1"/>
  <c r="L428" i="1"/>
  <c r="K428" i="1"/>
  <c r="E428" i="1"/>
  <c r="D428" i="1"/>
  <c r="D423" i="1" s="1"/>
  <c r="P427" i="1"/>
  <c r="P426" i="1"/>
  <c r="P425" i="1"/>
  <c r="O424" i="1"/>
  <c r="O423" i="1" s="1"/>
  <c r="N424" i="1"/>
  <c r="N423" i="1" s="1"/>
  <c r="N16" i="1" s="1"/>
  <c r="M424" i="1"/>
  <c r="L424" i="1"/>
  <c r="K424" i="1"/>
  <c r="E424" i="1"/>
  <c r="D424" i="1"/>
  <c r="E423" i="1"/>
  <c r="P422" i="1"/>
  <c r="P421" i="1"/>
  <c r="P420" i="1"/>
  <c r="O419" i="1"/>
  <c r="N419" i="1"/>
  <c r="M419" i="1"/>
  <c r="L419" i="1"/>
  <c r="K419" i="1"/>
  <c r="J419" i="1"/>
  <c r="I419" i="1"/>
  <c r="H419" i="1"/>
  <c r="G419" i="1"/>
  <c r="F419" i="1"/>
  <c r="E419" i="1"/>
  <c r="D419" i="1"/>
  <c r="P418" i="1"/>
  <c r="P417" i="1"/>
  <c r="P416" i="1"/>
  <c r="P415" i="1"/>
  <c r="P414" i="1"/>
  <c r="P413" i="1"/>
  <c r="E412" i="1"/>
  <c r="P412" i="1" s="1"/>
  <c r="E411" i="1"/>
  <c r="P411" i="1" s="1"/>
  <c r="E410" i="1"/>
  <c r="P410" i="1" s="1"/>
  <c r="E409" i="1"/>
  <c r="P409" i="1" s="1"/>
  <c r="E408" i="1"/>
  <c r="P408" i="1" s="1"/>
  <c r="N407" i="1"/>
  <c r="L406" i="1"/>
  <c r="P406" i="1" s="1"/>
  <c r="E405" i="1"/>
  <c r="P405" i="1" s="1"/>
  <c r="L404" i="1"/>
  <c r="E404" i="1"/>
  <c r="P404" i="1" s="1"/>
  <c r="E403" i="1"/>
  <c r="P403" i="1" s="1"/>
  <c r="O402" i="1"/>
  <c r="M402" i="1"/>
  <c r="L402" i="1"/>
  <c r="K402" i="1"/>
  <c r="J402" i="1"/>
  <c r="I402" i="1"/>
  <c r="H402" i="1"/>
  <c r="G402" i="1"/>
  <c r="F402" i="1"/>
  <c r="D402" i="1"/>
  <c r="P401" i="1"/>
  <c r="K401" i="1"/>
  <c r="E401" i="1"/>
  <c r="P400" i="1"/>
  <c r="P399" i="1"/>
  <c r="O399" i="1"/>
  <c r="E399" i="1"/>
  <c r="E398" i="1"/>
  <c r="P398" i="1" s="1"/>
  <c r="E397" i="1"/>
  <c r="P397" i="1" s="1"/>
  <c r="E396" i="1"/>
  <c r="P396" i="1" s="1"/>
  <c r="N395" i="1"/>
  <c r="E395" i="1" s="1"/>
  <c r="P395" i="1" s="1"/>
  <c r="E394" i="1"/>
  <c r="P394" i="1" s="1"/>
  <c r="E393" i="1"/>
  <c r="P393" i="1" s="1"/>
  <c r="N392" i="1"/>
  <c r="N388" i="1" s="1"/>
  <c r="E392" i="1"/>
  <c r="E391" i="1"/>
  <c r="P391" i="1" s="1"/>
  <c r="N390" i="1"/>
  <c r="E390" i="1" s="1"/>
  <c r="P390" i="1" s="1"/>
  <c r="E389" i="1"/>
  <c r="P389" i="1" s="1"/>
  <c r="O388" i="1"/>
  <c r="M388" i="1"/>
  <c r="L388" i="1"/>
  <c r="K388" i="1"/>
  <c r="D388" i="1"/>
  <c r="M387" i="1"/>
  <c r="L387" i="1"/>
  <c r="P386" i="1"/>
  <c r="P385" i="1"/>
  <c r="P384" i="1"/>
  <c r="P383" i="1"/>
  <c r="K377" i="1"/>
  <c r="E377" i="1"/>
  <c r="E376" i="1"/>
  <c r="P376" i="1" s="1"/>
  <c r="P375" i="1"/>
  <c r="E374" i="1"/>
  <c r="P374" i="1" s="1"/>
  <c r="E373" i="1"/>
  <c r="P373" i="1" s="1"/>
  <c r="E372" i="1"/>
  <c r="P372" i="1" s="1"/>
  <c r="E371" i="1"/>
  <c r="P371" i="1" s="1"/>
  <c r="P370" i="1"/>
  <c r="E370" i="1"/>
  <c r="E369" i="1"/>
  <c r="P369" i="1" s="1"/>
  <c r="P368" i="1"/>
  <c r="E368" i="1"/>
  <c r="E367" i="1"/>
  <c r="P367" i="1" s="1"/>
  <c r="P366" i="1"/>
  <c r="E366" i="1"/>
  <c r="E365" i="1"/>
  <c r="P365" i="1" s="1"/>
  <c r="P364" i="1"/>
  <c r="E364" i="1"/>
  <c r="N363" i="1"/>
  <c r="L363" i="1"/>
  <c r="K363" i="1"/>
  <c r="K362" i="1" s="1"/>
  <c r="D363" i="1"/>
  <c r="O362" i="1"/>
  <c r="N362" i="1"/>
  <c r="M362" i="1"/>
  <c r="M17" i="1" s="1"/>
  <c r="J362" i="1"/>
  <c r="I362" i="1"/>
  <c r="H362" i="1"/>
  <c r="G362" i="1"/>
  <c r="F362" i="1"/>
  <c r="D362" i="1"/>
  <c r="P361" i="1"/>
  <c r="P360" i="1"/>
  <c r="M359" i="1"/>
  <c r="L359" i="1"/>
  <c r="E359" i="1" s="1"/>
  <c r="P358" i="1"/>
  <c r="P357" i="1"/>
  <c r="N356" i="1"/>
  <c r="E356" i="1" s="1"/>
  <c r="O355" i="1"/>
  <c r="N355" i="1"/>
  <c r="M355" i="1"/>
  <c r="L355" i="1"/>
  <c r="P355" i="1" s="1"/>
  <c r="K355" i="1"/>
  <c r="E355" i="1"/>
  <c r="Q354" i="1"/>
  <c r="O354" i="1"/>
  <c r="O13" i="1" s="1"/>
  <c r="M354" i="1"/>
  <c r="L354" i="1"/>
  <c r="K354" i="1"/>
  <c r="K13" i="1" s="1"/>
  <c r="F354" i="1"/>
  <c r="D354" i="1"/>
  <c r="P353" i="1"/>
  <c r="O352" i="1"/>
  <c r="N352" i="1"/>
  <c r="M352" i="1"/>
  <c r="L352" i="1"/>
  <c r="K352" i="1"/>
  <c r="E352" i="1"/>
  <c r="D352" i="1"/>
  <c r="P351" i="1"/>
  <c r="P350" i="1"/>
  <c r="P349" i="1"/>
  <c r="P348" i="1"/>
  <c r="P347" i="1"/>
  <c r="P346" i="1"/>
  <c r="P345" i="1"/>
  <c r="O344" i="1"/>
  <c r="N344" i="1"/>
  <c r="M344" i="1"/>
  <c r="M335" i="1" s="1"/>
  <c r="M334" i="1" s="1"/>
  <c r="L344" i="1"/>
  <c r="K344" i="1"/>
  <c r="E343" i="1"/>
  <c r="P343" i="1" s="1"/>
  <c r="E342" i="1"/>
  <c r="P342" i="1" s="1"/>
  <c r="E341" i="1"/>
  <c r="P341" i="1" s="1"/>
  <c r="K340" i="1"/>
  <c r="E340" i="1"/>
  <c r="O339" i="1"/>
  <c r="N339" i="1"/>
  <c r="M339" i="1"/>
  <c r="L339" i="1"/>
  <c r="K339" i="1"/>
  <c r="D339" i="1"/>
  <c r="O338" i="1"/>
  <c r="O336" i="1" s="1"/>
  <c r="N338" i="1"/>
  <c r="M338" i="1"/>
  <c r="K337" i="1"/>
  <c r="E337" i="1" s="1"/>
  <c r="N336" i="1"/>
  <c r="M336" i="1"/>
  <c r="L336" i="1"/>
  <c r="D336" i="1"/>
  <c r="D335" i="1"/>
  <c r="D334" i="1" s="1"/>
  <c r="P333" i="1"/>
  <c r="P332" i="1"/>
  <c r="P331" i="1"/>
  <c r="P330" i="1"/>
  <c r="P329" i="1"/>
  <c r="P323" i="1"/>
  <c r="K322" i="1"/>
  <c r="E322" i="1" s="1"/>
  <c r="P322" i="1" s="1"/>
  <c r="P321" i="1"/>
  <c r="E320" i="1"/>
  <c r="P320" i="1" s="1"/>
  <c r="E319" i="1"/>
  <c r="P319" i="1" s="1"/>
  <c r="E318" i="1"/>
  <c r="P318" i="1" s="1"/>
  <c r="E317" i="1"/>
  <c r="P317" i="1" s="1"/>
  <c r="E316" i="1"/>
  <c r="P316" i="1" s="1"/>
  <c r="P315" i="1"/>
  <c r="E315" i="1"/>
  <c r="E314" i="1"/>
  <c r="E313" i="1" s="1"/>
  <c r="P313" i="1" s="1"/>
  <c r="O313" i="1"/>
  <c r="N313" i="1"/>
  <c r="M313" i="1"/>
  <c r="L313" i="1"/>
  <c r="K313" i="1"/>
  <c r="D313" i="1"/>
  <c r="P312" i="1"/>
  <c r="E312" i="1"/>
  <c r="O311" i="1"/>
  <c r="N311" i="1"/>
  <c r="M311" i="1"/>
  <c r="M16" i="1" s="1"/>
  <c r="L311" i="1"/>
  <c r="K311" i="1"/>
  <c r="E311" i="1"/>
  <c r="D311" i="1"/>
  <c r="D16" i="1" s="1"/>
  <c r="P310" i="1"/>
  <c r="E309" i="1"/>
  <c r="O308" i="1"/>
  <c r="N308" i="1"/>
  <c r="N14" i="1" s="1"/>
  <c r="M308" i="1"/>
  <c r="L308" i="1"/>
  <c r="K308" i="1"/>
  <c r="D308" i="1"/>
  <c r="D259" i="1" s="1"/>
  <c r="D324" i="1" s="1"/>
  <c r="E307" i="1"/>
  <c r="P307" i="1" s="1"/>
  <c r="E306" i="1"/>
  <c r="P306" i="1" s="1"/>
  <c r="E305" i="1"/>
  <c r="P305" i="1" s="1"/>
  <c r="E304" i="1"/>
  <c r="P304" i="1" s="1"/>
  <c r="E303" i="1"/>
  <c r="O302" i="1"/>
  <c r="N302" i="1"/>
  <c r="M302" i="1"/>
  <c r="M13" i="1" s="1"/>
  <c r="L302" i="1"/>
  <c r="K302" i="1"/>
  <c r="D302" i="1"/>
  <c r="E301" i="1"/>
  <c r="P301" i="1" s="1"/>
  <c r="E300" i="1"/>
  <c r="P300" i="1" s="1"/>
  <c r="E299" i="1"/>
  <c r="P299" i="1" s="1"/>
  <c r="E298" i="1"/>
  <c r="P298" i="1" s="1"/>
  <c r="E297" i="1"/>
  <c r="P297" i="1" s="1"/>
  <c r="N296" i="1"/>
  <c r="E296" i="1" s="1"/>
  <c r="P296" i="1" s="1"/>
  <c r="E295" i="1"/>
  <c r="P295" i="1" s="1"/>
  <c r="P294" i="1"/>
  <c r="E294" i="1"/>
  <c r="E293" i="1"/>
  <c r="P293" i="1" s="1"/>
  <c r="P292" i="1"/>
  <c r="E292" i="1"/>
  <c r="E291" i="1"/>
  <c r="P291" i="1" s="1"/>
  <c r="O290" i="1"/>
  <c r="E290" i="1" s="1"/>
  <c r="P290" i="1" s="1"/>
  <c r="E289" i="1"/>
  <c r="P289" i="1" s="1"/>
  <c r="E288" i="1"/>
  <c r="P288" i="1" s="1"/>
  <c r="O287" i="1"/>
  <c r="E286" i="1"/>
  <c r="P286" i="1" s="1"/>
  <c r="P285" i="1"/>
  <c r="E285" i="1"/>
  <c r="E284" i="1"/>
  <c r="P284" i="1" s="1"/>
  <c r="P283" i="1"/>
  <c r="E283" i="1"/>
  <c r="E282" i="1"/>
  <c r="P282" i="1" s="1"/>
  <c r="P281" i="1"/>
  <c r="E281" i="1"/>
  <c r="E280" i="1"/>
  <c r="P280" i="1" s="1"/>
  <c r="P279" i="1"/>
  <c r="E279" i="1"/>
  <c r="O278" i="1"/>
  <c r="E278" i="1"/>
  <c r="P278" i="1" s="1"/>
  <c r="E277" i="1"/>
  <c r="P277" i="1" s="1"/>
  <c r="E276" i="1"/>
  <c r="P276" i="1" s="1"/>
  <c r="E275" i="1"/>
  <c r="P275" i="1" s="1"/>
  <c r="N274" i="1"/>
  <c r="P273" i="1"/>
  <c r="E273" i="1"/>
  <c r="E272" i="1"/>
  <c r="P272" i="1" s="1"/>
  <c r="P271" i="1"/>
  <c r="E271" i="1"/>
  <c r="E270" i="1"/>
  <c r="P270" i="1" s="1"/>
  <c r="P269" i="1"/>
  <c r="E269" i="1"/>
  <c r="E268" i="1"/>
  <c r="P268" i="1" s="1"/>
  <c r="P267" i="1"/>
  <c r="E267" i="1"/>
  <c r="E266" i="1"/>
  <c r="P266" i="1" s="1"/>
  <c r="P265" i="1"/>
  <c r="E265" i="1"/>
  <c r="N264" i="1"/>
  <c r="E264" i="1"/>
  <c r="P264" i="1" s="1"/>
  <c r="L263" i="1"/>
  <c r="P262" i="1"/>
  <c r="E262" i="1"/>
  <c r="E261" i="1"/>
  <c r="P261" i="1" s="1"/>
  <c r="M260" i="1"/>
  <c r="K260" i="1"/>
  <c r="D260" i="1"/>
  <c r="M259" i="1"/>
  <c r="K259" i="1"/>
  <c r="E258" i="1"/>
  <c r="P257" i="1"/>
  <c r="O256" i="1"/>
  <c r="O9" i="1" s="1"/>
  <c r="N256" i="1"/>
  <c r="M256" i="1"/>
  <c r="L256" i="1"/>
  <c r="D256" i="1"/>
  <c r="D9" i="1" s="1"/>
  <c r="P255" i="1"/>
  <c r="E254" i="1"/>
  <c r="P254" i="1" s="1"/>
  <c r="P253" i="1"/>
  <c r="O252" i="1"/>
  <c r="N252" i="1"/>
  <c r="N251" i="1" s="1"/>
  <c r="M252" i="1"/>
  <c r="M251" i="1" s="1"/>
  <c r="L252" i="1"/>
  <c r="L7" i="1" s="1"/>
  <c r="K252" i="1"/>
  <c r="K251" i="1"/>
  <c r="K244" i="1"/>
  <c r="E244" i="1"/>
  <c r="P244" i="1" s="1"/>
  <c r="K243" i="1"/>
  <c r="E243" i="1" s="1"/>
  <c r="P243" i="1" s="1"/>
  <c r="E242" i="1"/>
  <c r="P242" i="1" s="1"/>
  <c r="O241" i="1"/>
  <c r="N241" i="1"/>
  <c r="M241" i="1"/>
  <c r="L241" i="1"/>
  <c r="K241" i="1"/>
  <c r="E240" i="1"/>
  <c r="P240" i="1" s="1"/>
  <c r="E239" i="1"/>
  <c r="P239" i="1" s="1"/>
  <c r="P238" i="1"/>
  <c r="L237" i="1"/>
  <c r="L234" i="1" s="1"/>
  <c r="K237" i="1"/>
  <c r="E237" i="1" s="1"/>
  <c r="P237" i="1" s="1"/>
  <c r="K236" i="1"/>
  <c r="P236" i="1" s="1"/>
  <c r="B236" i="1"/>
  <c r="M235" i="1"/>
  <c r="K235" i="1"/>
  <c r="E235" i="1" s="1"/>
  <c r="P235" i="1" s="1"/>
  <c r="D235" i="1"/>
  <c r="D234" i="1" s="1"/>
  <c r="O234" i="1"/>
  <c r="N234" i="1"/>
  <c r="M234" i="1"/>
  <c r="J234" i="1"/>
  <c r="J245" i="1" s="1"/>
  <c r="I234" i="1"/>
  <c r="I245" i="1" s="1"/>
  <c r="H234" i="1"/>
  <c r="H245" i="1" s="1"/>
  <c r="G234" i="1"/>
  <c r="G245" i="1" s="1"/>
  <c r="F234" i="1"/>
  <c r="F245" i="1" s="1"/>
  <c r="P233" i="1"/>
  <c r="E233" i="1"/>
  <c r="E232" i="1"/>
  <c r="P232" i="1" s="1"/>
  <c r="O231" i="1"/>
  <c r="N231" i="1"/>
  <c r="M231" i="1"/>
  <c r="L231" i="1"/>
  <c r="L160" i="1" s="1"/>
  <c r="L245" i="1" s="1"/>
  <c r="K231" i="1"/>
  <c r="E231" i="1" s="1"/>
  <c r="P231" i="1" s="1"/>
  <c r="E230" i="1"/>
  <c r="P230" i="1" s="1"/>
  <c r="E229" i="1"/>
  <c r="P229" i="1" s="1"/>
  <c r="E228" i="1"/>
  <c r="P228" i="1" s="1"/>
  <c r="E227" i="1"/>
  <c r="P227" i="1" s="1"/>
  <c r="E226" i="1"/>
  <c r="P226" i="1" s="1"/>
  <c r="E225" i="1"/>
  <c r="P225" i="1" s="1"/>
  <c r="E224" i="1"/>
  <c r="P224" i="1" s="1"/>
  <c r="E223" i="1"/>
  <c r="P223" i="1" s="1"/>
  <c r="O222" i="1"/>
  <c r="N222" i="1"/>
  <c r="M222" i="1"/>
  <c r="L222" i="1"/>
  <c r="K222" i="1"/>
  <c r="P221" i="1"/>
  <c r="E221" i="1"/>
  <c r="E220" i="1"/>
  <c r="P220" i="1" s="1"/>
  <c r="P219" i="1"/>
  <c r="E219" i="1"/>
  <c r="E218" i="1"/>
  <c r="P218" i="1" s="1"/>
  <c r="P217" i="1"/>
  <c r="E217" i="1"/>
  <c r="E216" i="1"/>
  <c r="P216" i="1" s="1"/>
  <c r="P215" i="1"/>
  <c r="E215" i="1"/>
  <c r="E214" i="1"/>
  <c r="P214" i="1" s="1"/>
  <c r="P213" i="1"/>
  <c r="E213" i="1"/>
  <c r="N212" i="1"/>
  <c r="E212" i="1"/>
  <c r="P212" i="1" s="1"/>
  <c r="E211" i="1"/>
  <c r="P211" i="1" s="1"/>
  <c r="E210" i="1"/>
  <c r="P210" i="1" s="1"/>
  <c r="N209" i="1"/>
  <c r="P208" i="1"/>
  <c r="E208" i="1"/>
  <c r="E207" i="1"/>
  <c r="P207" i="1" s="1"/>
  <c r="P206" i="1"/>
  <c r="E206" i="1"/>
  <c r="E205" i="1"/>
  <c r="P205" i="1" s="1"/>
  <c r="P204" i="1"/>
  <c r="E204" i="1"/>
  <c r="E203" i="1"/>
  <c r="P203" i="1" s="1"/>
  <c r="P202" i="1"/>
  <c r="E202" i="1"/>
  <c r="E201" i="1"/>
  <c r="P201" i="1" s="1"/>
  <c r="P200" i="1"/>
  <c r="E200" i="1"/>
  <c r="E199" i="1"/>
  <c r="P199" i="1" s="1"/>
  <c r="P198" i="1"/>
  <c r="E198" i="1"/>
  <c r="E197" i="1"/>
  <c r="P197" i="1" s="1"/>
  <c r="P196" i="1"/>
  <c r="E196" i="1"/>
  <c r="E195" i="1"/>
  <c r="P195" i="1" s="1"/>
  <c r="P194" i="1"/>
  <c r="E194" i="1"/>
  <c r="E193" i="1"/>
  <c r="P193" i="1" s="1"/>
  <c r="P192" i="1"/>
  <c r="E192" i="1"/>
  <c r="E191" i="1"/>
  <c r="P191" i="1" s="1"/>
  <c r="N190" i="1"/>
  <c r="E190" i="1" s="1"/>
  <c r="P190" i="1" s="1"/>
  <c r="E189" i="1"/>
  <c r="P189" i="1" s="1"/>
  <c r="E188" i="1"/>
  <c r="P188" i="1" s="1"/>
  <c r="E187" i="1"/>
  <c r="P187" i="1" s="1"/>
  <c r="E186" i="1"/>
  <c r="P186" i="1" s="1"/>
  <c r="E185" i="1"/>
  <c r="P185" i="1" s="1"/>
  <c r="E184" i="1"/>
  <c r="P184" i="1" s="1"/>
  <c r="E183" i="1"/>
  <c r="P183" i="1" s="1"/>
  <c r="E182" i="1"/>
  <c r="P182" i="1" s="1"/>
  <c r="E181" i="1"/>
  <c r="P181" i="1" s="1"/>
  <c r="E180" i="1"/>
  <c r="P180" i="1" s="1"/>
  <c r="E179" i="1"/>
  <c r="P179" i="1" s="1"/>
  <c r="E178" i="1"/>
  <c r="P178" i="1" s="1"/>
  <c r="E177" i="1"/>
  <c r="P177" i="1" s="1"/>
  <c r="E176" i="1"/>
  <c r="P176" i="1" s="1"/>
  <c r="E175" i="1"/>
  <c r="P175" i="1" s="1"/>
  <c r="E174" i="1"/>
  <c r="P174" i="1" s="1"/>
  <c r="E173" i="1"/>
  <c r="P173" i="1" s="1"/>
  <c r="E172" i="1"/>
  <c r="P172" i="1" s="1"/>
  <c r="E171" i="1"/>
  <c r="P171" i="1" s="1"/>
  <c r="E170" i="1"/>
  <c r="P170" i="1" s="1"/>
  <c r="E169" i="1"/>
  <c r="P169" i="1" s="1"/>
  <c r="E168" i="1"/>
  <c r="P168" i="1" s="1"/>
  <c r="E167" i="1"/>
  <c r="P167" i="1" s="1"/>
  <c r="E166" i="1"/>
  <c r="P166" i="1" s="1"/>
  <c r="E165" i="1"/>
  <c r="P165" i="1" s="1"/>
  <c r="E164" i="1"/>
  <c r="P164" i="1" s="1"/>
  <c r="E163" i="1"/>
  <c r="P163" i="1" s="1"/>
  <c r="E162" i="1"/>
  <c r="O161" i="1"/>
  <c r="M161" i="1"/>
  <c r="M160" i="1" s="1"/>
  <c r="M245" i="1" s="1"/>
  <c r="L161" i="1"/>
  <c r="K161" i="1"/>
  <c r="D161" i="1"/>
  <c r="E159" i="1"/>
  <c r="P159" i="1" s="1"/>
  <c r="P158" i="1"/>
  <c r="P157" i="1"/>
  <c r="P156" i="1"/>
  <c r="P155" i="1"/>
  <c r="K148" i="1"/>
  <c r="E148" i="1" s="1"/>
  <c r="K147" i="1"/>
  <c r="E147" i="1" s="1"/>
  <c r="P147" i="1" s="1"/>
  <c r="P146" i="1"/>
  <c r="P145" i="1"/>
  <c r="E145" i="1"/>
  <c r="E144" i="1"/>
  <c r="P144" i="1" s="1"/>
  <c r="P143" i="1"/>
  <c r="E143" i="1"/>
  <c r="K142" i="1"/>
  <c r="K141" i="1"/>
  <c r="E141" i="1"/>
  <c r="O140" i="1"/>
  <c r="N140" i="1"/>
  <c r="M140" i="1"/>
  <c r="L140" i="1"/>
  <c r="D140" i="1"/>
  <c r="E139" i="1"/>
  <c r="P139" i="1" s="1"/>
  <c r="E138" i="1"/>
  <c r="P138" i="1" s="1"/>
  <c r="O137" i="1"/>
  <c r="N137" i="1"/>
  <c r="M137" i="1"/>
  <c r="L137" i="1"/>
  <c r="L15" i="1" s="1"/>
  <c r="E136" i="1"/>
  <c r="P136" i="1" s="1"/>
  <c r="E135" i="1"/>
  <c r="P135" i="1" s="1"/>
  <c r="E134" i="1"/>
  <c r="P134" i="1" s="1"/>
  <c r="P133" i="1"/>
  <c r="E133" i="1"/>
  <c r="E132" i="1"/>
  <c r="P132" i="1" s="1"/>
  <c r="P131" i="1"/>
  <c r="E131" i="1"/>
  <c r="E130" i="1"/>
  <c r="P130" i="1" s="1"/>
  <c r="E129" i="1"/>
  <c r="P129" i="1" s="1"/>
  <c r="E128" i="1"/>
  <c r="P128" i="1" s="1"/>
  <c r="E127" i="1"/>
  <c r="P127" i="1" s="1"/>
  <c r="E126" i="1"/>
  <c r="O125" i="1"/>
  <c r="N125" i="1"/>
  <c r="M125" i="1"/>
  <c r="L125" i="1"/>
  <c r="K125" i="1"/>
  <c r="D125" i="1"/>
  <c r="D13" i="1" s="1"/>
  <c r="E124" i="1"/>
  <c r="P124" i="1" s="1"/>
  <c r="E123" i="1"/>
  <c r="P123" i="1" s="1"/>
  <c r="E122" i="1"/>
  <c r="P122" i="1" s="1"/>
  <c r="E121" i="1"/>
  <c r="P121" i="1" s="1"/>
  <c r="P120" i="1"/>
  <c r="E120" i="1"/>
  <c r="E119" i="1"/>
  <c r="P119" i="1" s="1"/>
  <c r="P118" i="1"/>
  <c r="E118" i="1"/>
  <c r="E117" i="1"/>
  <c r="P117" i="1" s="1"/>
  <c r="E116" i="1"/>
  <c r="P116" i="1" s="1"/>
  <c r="E115" i="1"/>
  <c r="P115" i="1" s="1"/>
  <c r="E114" i="1"/>
  <c r="P114" i="1" s="1"/>
  <c r="E113" i="1"/>
  <c r="P113" i="1" s="1"/>
  <c r="P112" i="1"/>
  <c r="E112" i="1"/>
  <c r="E111" i="1"/>
  <c r="P111" i="1" s="1"/>
  <c r="P110" i="1"/>
  <c r="E110" i="1"/>
  <c r="E109" i="1"/>
  <c r="P109" i="1" s="1"/>
  <c r="E108" i="1"/>
  <c r="P108" i="1" s="1"/>
  <c r="E107" i="1"/>
  <c r="P107" i="1" s="1"/>
  <c r="E106" i="1"/>
  <c r="P106" i="1" s="1"/>
  <c r="E105" i="1"/>
  <c r="P105" i="1" s="1"/>
  <c r="P104" i="1"/>
  <c r="E104" i="1"/>
  <c r="E103" i="1"/>
  <c r="P103" i="1" s="1"/>
  <c r="P102" i="1"/>
  <c r="E102" i="1"/>
  <c r="E101" i="1"/>
  <c r="P101" i="1" s="1"/>
  <c r="E100" i="1"/>
  <c r="P100" i="1" s="1"/>
  <c r="E99" i="1"/>
  <c r="P99" i="1" s="1"/>
  <c r="E98" i="1"/>
  <c r="P98" i="1" s="1"/>
  <c r="E97" i="1"/>
  <c r="P97" i="1" s="1"/>
  <c r="P96" i="1"/>
  <c r="E96" i="1"/>
  <c r="E95" i="1"/>
  <c r="P95" i="1" s="1"/>
  <c r="P94" i="1"/>
  <c r="E94" i="1"/>
  <c r="E93" i="1"/>
  <c r="P93" i="1" s="1"/>
  <c r="E92" i="1"/>
  <c r="P92" i="1" s="1"/>
  <c r="E91" i="1"/>
  <c r="P91" i="1" s="1"/>
  <c r="E90" i="1"/>
  <c r="P90" i="1" s="1"/>
  <c r="E89" i="1"/>
  <c r="P89" i="1" s="1"/>
  <c r="N88" i="1"/>
  <c r="E88" i="1" s="1"/>
  <c r="P88" i="1" s="1"/>
  <c r="E87" i="1"/>
  <c r="P87" i="1" s="1"/>
  <c r="L86" i="1"/>
  <c r="L85" i="1" s="1"/>
  <c r="K86" i="1"/>
  <c r="K85" i="1" s="1"/>
  <c r="K84" i="1" s="1"/>
  <c r="O85" i="1"/>
  <c r="N85" i="1"/>
  <c r="M85" i="1"/>
  <c r="M84" i="1" s="1"/>
  <c r="D85" i="1"/>
  <c r="N84" i="1"/>
  <c r="P83" i="1"/>
  <c r="E82" i="1"/>
  <c r="P82" i="1" s="1"/>
  <c r="O81" i="1"/>
  <c r="N81" i="1"/>
  <c r="K81" i="1"/>
  <c r="E81" i="1" s="1"/>
  <c r="P80" i="1"/>
  <c r="P79" i="1"/>
  <c r="O78" i="1"/>
  <c r="N78" i="1"/>
  <c r="M78" i="1"/>
  <c r="L78" i="1"/>
  <c r="D78" i="1"/>
  <c r="P71" i="1"/>
  <c r="E71" i="1"/>
  <c r="M70" i="1"/>
  <c r="E70" i="1"/>
  <c r="P70" i="1" s="1"/>
  <c r="P69" i="1"/>
  <c r="K68" i="1"/>
  <c r="E68" i="1" s="1"/>
  <c r="E67" i="1"/>
  <c r="P67" i="1" s="1"/>
  <c r="E66" i="1"/>
  <c r="P66" i="1" s="1"/>
  <c r="E65" i="1"/>
  <c r="P65" i="1" s="1"/>
  <c r="K64" i="1"/>
  <c r="K63" i="1" s="1"/>
  <c r="O63" i="1"/>
  <c r="N63" i="1"/>
  <c r="M63" i="1"/>
  <c r="L63" i="1"/>
  <c r="D63" i="1"/>
  <c r="E62" i="1"/>
  <c r="P62" i="1" s="1"/>
  <c r="E61" i="1"/>
  <c r="E60" i="1" s="1"/>
  <c r="S60" i="1"/>
  <c r="Q60" i="1"/>
  <c r="O60" i="1"/>
  <c r="N60" i="1"/>
  <c r="N15" i="1" s="1"/>
  <c r="M60" i="1"/>
  <c r="L60" i="1"/>
  <c r="K60" i="1"/>
  <c r="J60" i="1"/>
  <c r="I60" i="1"/>
  <c r="H60" i="1"/>
  <c r="G60" i="1"/>
  <c r="F60" i="1"/>
  <c r="D60" i="1"/>
  <c r="P59" i="1"/>
  <c r="E58" i="1"/>
  <c r="E56" i="1" s="1"/>
  <c r="Q56" i="1"/>
  <c r="O56" i="1"/>
  <c r="N56" i="1"/>
  <c r="M56" i="1"/>
  <c r="L56" i="1"/>
  <c r="K56" i="1"/>
  <c r="J56" i="1"/>
  <c r="I56" i="1"/>
  <c r="H56" i="1"/>
  <c r="G56" i="1"/>
  <c r="F56" i="1"/>
  <c r="E55" i="1"/>
  <c r="P55" i="1" s="1"/>
  <c r="E54" i="1"/>
  <c r="P54" i="1" s="1"/>
  <c r="P53" i="1"/>
  <c r="E53" i="1"/>
  <c r="E52" i="1"/>
  <c r="P52" i="1" s="1"/>
  <c r="P51" i="1"/>
  <c r="E51" i="1"/>
  <c r="E50" i="1"/>
  <c r="P50" i="1" s="1"/>
  <c r="E49" i="1"/>
  <c r="E48" i="1"/>
  <c r="P48" i="1" s="1"/>
  <c r="E47" i="1"/>
  <c r="P47" i="1" s="1"/>
  <c r="P46" i="1"/>
  <c r="E45" i="1"/>
  <c r="P45" i="1" s="1"/>
  <c r="P44" i="1"/>
  <c r="E44" i="1"/>
  <c r="E43" i="1"/>
  <c r="P43" i="1" s="1"/>
  <c r="P42" i="1"/>
  <c r="E42" i="1"/>
  <c r="E41" i="1"/>
  <c r="P41" i="1" s="1"/>
  <c r="P40" i="1"/>
  <c r="E40" i="1"/>
  <c r="E39" i="1"/>
  <c r="P39" i="1" s="1"/>
  <c r="P38" i="1"/>
  <c r="E38" i="1"/>
  <c r="O37" i="1"/>
  <c r="N37" i="1"/>
  <c r="N36" i="1" s="1"/>
  <c r="M37" i="1"/>
  <c r="L37" i="1"/>
  <c r="K37" i="1"/>
  <c r="D37" i="1"/>
  <c r="L36" i="1"/>
  <c r="P35" i="1"/>
  <c r="P34" i="1"/>
  <c r="P33" i="1"/>
  <c r="P32" i="1"/>
  <c r="O31" i="1"/>
  <c r="N31" i="1"/>
  <c r="N6" i="1" s="1"/>
  <c r="M31" i="1"/>
  <c r="L31" i="1"/>
  <c r="K31" i="1"/>
  <c r="J31" i="1"/>
  <c r="I31" i="1"/>
  <c r="H31" i="1"/>
  <c r="G31" i="1"/>
  <c r="F31" i="1"/>
  <c r="E31" i="1"/>
  <c r="D31" i="1"/>
  <c r="O25" i="1"/>
  <c r="N25" i="1"/>
  <c r="M25" i="1"/>
  <c r="L25" i="1"/>
  <c r="D25" i="1"/>
  <c r="O24" i="1"/>
  <c r="N24" i="1"/>
  <c r="M24" i="1"/>
  <c r="L24" i="1"/>
  <c r="D24" i="1"/>
  <c r="O23" i="1"/>
  <c r="N23" i="1"/>
  <c r="M23" i="1"/>
  <c r="L23" i="1"/>
  <c r="K23" i="1"/>
  <c r="E23" i="1"/>
  <c r="D23" i="1"/>
  <c r="O22" i="1"/>
  <c r="N22" i="1"/>
  <c r="M22" i="1"/>
  <c r="L22" i="1"/>
  <c r="K22" i="1"/>
  <c r="D22" i="1"/>
  <c r="O21" i="1"/>
  <c r="N21" i="1"/>
  <c r="M21" i="1"/>
  <c r="L21" i="1"/>
  <c r="K21" i="1"/>
  <c r="E21" i="1"/>
  <c r="P21" i="1" s="1"/>
  <c r="D21" i="1"/>
  <c r="O20" i="1"/>
  <c r="N20" i="1"/>
  <c r="M20" i="1"/>
  <c r="L20" i="1"/>
  <c r="D20" i="1"/>
  <c r="O19" i="1"/>
  <c r="N19" i="1"/>
  <c r="M19" i="1"/>
  <c r="D19" i="1"/>
  <c r="O18" i="1"/>
  <c r="N18" i="1"/>
  <c r="M18" i="1"/>
  <c r="L18" i="1"/>
  <c r="D18" i="1"/>
  <c r="O17" i="1"/>
  <c r="N17" i="1"/>
  <c r="O16" i="1"/>
  <c r="D15" i="1"/>
  <c r="O14" i="1"/>
  <c r="M14" i="1"/>
  <c r="L14" i="1"/>
  <c r="K14" i="1"/>
  <c r="L13" i="1"/>
  <c r="O10" i="1"/>
  <c r="N10" i="1"/>
  <c r="M10" i="1"/>
  <c r="L10" i="1"/>
  <c r="K10" i="1"/>
  <c r="E10" i="1"/>
  <c r="D10" i="1"/>
  <c r="N9" i="1"/>
  <c r="M9" i="1"/>
  <c r="L9" i="1"/>
  <c r="K9" i="1"/>
  <c r="O8" i="1"/>
  <c r="N8" i="1"/>
  <c r="M8" i="1"/>
  <c r="L8" i="1"/>
  <c r="J8" i="1"/>
  <c r="I8" i="1"/>
  <c r="D8" i="1"/>
  <c r="O7" i="1"/>
  <c r="N7" i="1"/>
  <c r="M7" i="1"/>
  <c r="K7" i="1"/>
  <c r="D7" i="1"/>
  <c r="M6" i="1"/>
  <c r="P148" i="1" l="1"/>
  <c r="E25" i="1"/>
  <c r="P359" i="1"/>
  <c r="E16" i="1"/>
  <c r="P68" i="1"/>
  <c r="D441" i="1"/>
  <c r="E24" i="1"/>
  <c r="P24" i="1" s="1"/>
  <c r="K25" i="1"/>
  <c r="P25" i="1" s="1"/>
  <c r="O6" i="1"/>
  <c r="E37" i="1"/>
  <c r="P58" i="1"/>
  <c r="P56" i="1" s="1"/>
  <c r="K36" i="1"/>
  <c r="K72" i="1" s="1"/>
  <c r="O15" i="1"/>
  <c r="N149" i="1"/>
  <c r="M15" i="1"/>
  <c r="O160" i="1"/>
  <c r="O245" i="1" s="1"/>
  <c r="E241" i="1"/>
  <c r="P241" i="1" s="1"/>
  <c r="K324" i="1"/>
  <c r="L251" i="1"/>
  <c r="L6" i="1" s="1"/>
  <c r="P314" i="1"/>
  <c r="L335" i="1"/>
  <c r="L334" i="1" s="1"/>
  <c r="E363" i="1"/>
  <c r="D387" i="1"/>
  <c r="K8" i="1"/>
  <c r="P10" i="1"/>
  <c r="L19" i="1"/>
  <c r="P23" i="1"/>
  <c r="K24" i="1"/>
  <c r="L72" i="1"/>
  <c r="D12" i="1"/>
  <c r="K140" i="1"/>
  <c r="E252" i="1"/>
  <c r="E344" i="1"/>
  <c r="P344" i="1" s="1"/>
  <c r="O387" i="1"/>
  <c r="P419" i="1"/>
  <c r="M36" i="1"/>
  <c r="M72" i="1" s="1"/>
  <c r="D36" i="1"/>
  <c r="D72" i="1" s="1"/>
  <c r="O84" i="1"/>
  <c r="O251" i="1"/>
  <c r="P311" i="1"/>
  <c r="K336" i="1"/>
  <c r="O335" i="1"/>
  <c r="O334" i="1" s="1"/>
  <c r="O378" i="1" s="1"/>
  <c r="N335" i="1"/>
  <c r="N334" i="1" s="1"/>
  <c r="N378" i="1" s="1"/>
  <c r="N354" i="1"/>
  <c r="L362" i="1"/>
  <c r="L17" i="1" s="1"/>
  <c r="K387" i="1"/>
  <c r="L423" i="1"/>
  <c r="L16" i="1" s="1"/>
  <c r="E15" i="1"/>
  <c r="E78" i="1"/>
  <c r="P81" i="1"/>
  <c r="E8" i="1"/>
  <c r="M11" i="1"/>
  <c r="P37" i="1"/>
  <c r="E36" i="1"/>
  <c r="M149" i="1"/>
  <c r="P352" i="1"/>
  <c r="E20" i="1"/>
  <c r="P20" i="1" s="1"/>
  <c r="P49" i="1"/>
  <c r="N72" i="1"/>
  <c r="D84" i="1"/>
  <c r="D149" i="1" s="1"/>
  <c r="P141" i="1"/>
  <c r="E234" i="1"/>
  <c r="M324" i="1"/>
  <c r="E339" i="1"/>
  <c r="P339" i="1" s="1"/>
  <c r="P340" i="1"/>
  <c r="E362" i="1"/>
  <c r="P362" i="1" s="1"/>
  <c r="P363" i="1"/>
  <c r="P31" i="1"/>
  <c r="M12" i="1"/>
  <c r="K18" i="1"/>
  <c r="K19" i="1"/>
  <c r="K20" i="1"/>
  <c r="O36" i="1"/>
  <c r="P61" i="1"/>
  <c r="P60" i="1" s="1"/>
  <c r="K78" i="1"/>
  <c r="K6" i="1" s="1"/>
  <c r="L84" i="1"/>
  <c r="P162" i="1"/>
  <c r="E209" i="1"/>
  <c r="P209" i="1" s="1"/>
  <c r="N161" i="1"/>
  <c r="N160" i="1" s="1"/>
  <c r="N245" i="1" s="1"/>
  <c r="E222" i="1"/>
  <c r="P222" i="1" s="1"/>
  <c r="K160" i="1"/>
  <c r="P258" i="1"/>
  <c r="E256" i="1"/>
  <c r="P337" i="1"/>
  <c r="P392" i="1"/>
  <c r="E388" i="1"/>
  <c r="P424" i="1"/>
  <c r="K423" i="1"/>
  <c r="O441" i="1"/>
  <c r="K15" i="1"/>
  <c r="E64" i="1"/>
  <c r="E86" i="1"/>
  <c r="P126" i="1"/>
  <c r="E125" i="1"/>
  <c r="E137" i="1"/>
  <c r="P137" i="1" s="1"/>
  <c r="O149" i="1"/>
  <c r="E142" i="1"/>
  <c r="E287" i="1"/>
  <c r="P287" i="1" s="1"/>
  <c r="O260" i="1"/>
  <c r="P303" i="1"/>
  <c r="E302" i="1"/>
  <c r="P302" i="1" s="1"/>
  <c r="P377" i="1"/>
  <c r="E274" i="1"/>
  <c r="P274" i="1" s="1"/>
  <c r="N260" i="1"/>
  <c r="N259" i="1" s="1"/>
  <c r="N324" i="1" s="1"/>
  <c r="K234" i="1"/>
  <c r="K17" i="1" s="1"/>
  <c r="P356" i="1"/>
  <c r="E354" i="1"/>
  <c r="P354" i="1" s="1"/>
  <c r="D378" i="1"/>
  <c r="M378" i="1"/>
  <c r="K441" i="1"/>
  <c r="P464" i="1"/>
  <c r="E263" i="1"/>
  <c r="P263" i="1" s="1"/>
  <c r="L260" i="1"/>
  <c r="P309" i="1"/>
  <c r="E308" i="1"/>
  <c r="K335" i="1"/>
  <c r="E338" i="1"/>
  <c r="P338" i="1" s="1"/>
  <c r="E407" i="1"/>
  <c r="N402" i="1"/>
  <c r="N13" i="1" s="1"/>
  <c r="L441" i="1"/>
  <c r="P428" i="1"/>
  <c r="L378" i="1" l="1"/>
  <c r="P252" i="1"/>
  <c r="E7" i="1"/>
  <c r="P7" i="1" s="1"/>
  <c r="E22" i="1"/>
  <c r="P22" i="1" s="1"/>
  <c r="E251" i="1"/>
  <c r="P8" i="1"/>
  <c r="E336" i="1"/>
  <c r="E260" i="1"/>
  <c r="P142" i="1"/>
  <c r="E19" i="1"/>
  <c r="P19" i="1" s="1"/>
  <c r="P336" i="1"/>
  <c r="E335" i="1"/>
  <c r="O72" i="1"/>
  <c r="E140" i="1"/>
  <c r="P140" i="1" s="1"/>
  <c r="P36" i="1"/>
  <c r="P308" i="1"/>
  <c r="E14" i="1"/>
  <c r="P14" i="1" s="1"/>
  <c r="L149" i="1"/>
  <c r="P256" i="1"/>
  <c r="E9" i="1"/>
  <c r="P9" i="1" s="1"/>
  <c r="E161" i="1"/>
  <c r="D26" i="1"/>
  <c r="P15" i="1"/>
  <c r="P407" i="1"/>
  <c r="E402" i="1"/>
  <c r="P402" i="1" s="1"/>
  <c r="P64" i="1"/>
  <c r="E63" i="1"/>
  <c r="E18" i="1"/>
  <c r="P18" i="1" s="1"/>
  <c r="M26" i="1"/>
  <c r="N12" i="1"/>
  <c r="K334" i="1"/>
  <c r="K378" i="1" s="1"/>
  <c r="K12" i="1"/>
  <c r="O259" i="1"/>
  <c r="O324" i="1" s="1"/>
  <c r="O12" i="1"/>
  <c r="P86" i="1"/>
  <c r="E85" i="1"/>
  <c r="P388" i="1"/>
  <c r="K245" i="1"/>
  <c r="L259" i="1"/>
  <c r="L324" i="1" s="1"/>
  <c r="L12" i="1"/>
  <c r="P125" i="1"/>
  <c r="P423" i="1"/>
  <c r="K16" i="1"/>
  <c r="P16" i="1" s="1"/>
  <c r="K149" i="1"/>
  <c r="E149" i="1" s="1"/>
  <c r="P149" i="1" s="1"/>
  <c r="N387" i="1"/>
  <c r="P234" i="1"/>
  <c r="P78" i="1"/>
  <c r="E6" i="1"/>
  <c r="P6" i="1" s="1"/>
  <c r="E13" i="1" l="1"/>
  <c r="P13" i="1" s="1"/>
  <c r="E387" i="1"/>
  <c r="K11" i="1"/>
  <c r="O11" i="1"/>
  <c r="O26" i="1"/>
  <c r="K26" i="1"/>
  <c r="P85" i="1"/>
  <c r="E84" i="1"/>
  <c r="E12" i="1"/>
  <c r="P12" i="1" s="1"/>
  <c r="N441" i="1"/>
  <c r="N26" i="1" s="1"/>
  <c r="N11" i="1"/>
  <c r="P63" i="1"/>
  <c r="E17" i="1"/>
  <c r="P17" i="1" s="1"/>
  <c r="P387" i="1"/>
  <c r="E441" i="1"/>
  <c r="L26" i="1"/>
  <c r="P335" i="1"/>
  <c r="E334" i="1"/>
  <c r="E259" i="1"/>
  <c r="P260" i="1"/>
  <c r="Q260" i="1"/>
  <c r="E72" i="1"/>
  <c r="E160" i="1"/>
  <c r="P161" i="1"/>
  <c r="L11" i="1"/>
  <c r="P441" i="1" l="1"/>
  <c r="P72" i="1"/>
  <c r="P84" i="1"/>
  <c r="E11" i="1"/>
  <c r="P11" i="1" s="1"/>
  <c r="P259" i="1"/>
  <c r="E324" i="1"/>
  <c r="P324" i="1" s="1"/>
  <c r="P334" i="1"/>
  <c r="E378" i="1"/>
  <c r="P378" i="1" s="1"/>
  <c r="E245" i="1"/>
  <c r="P245" i="1" s="1"/>
  <c r="P160" i="1"/>
  <c r="E26" i="1" l="1"/>
  <c r="P26" i="1" s="1"/>
</calcChain>
</file>

<file path=xl/comments1.xml><?xml version="1.0" encoding="utf-8"?>
<comments xmlns="http://schemas.openxmlformats.org/spreadsheetml/2006/main">
  <authors>
    <author>Автор</author>
  </authors>
  <commentList>
    <comment ref="A45" authorId="0" shapeId="0">
      <text>
        <r>
          <rPr>
            <b/>
            <sz val="9"/>
            <color indexed="81"/>
            <rFont val="Tahoma"/>
            <family val="2"/>
            <charset val="204"/>
          </rPr>
          <t>Автор:</t>
        </r>
        <r>
          <rPr>
            <sz val="9"/>
            <color indexed="81"/>
            <rFont val="Tahoma"/>
            <family val="2"/>
            <charset val="204"/>
          </rPr>
          <t xml:space="preserve">
описание исправить по годам 2024,2025
</t>
        </r>
      </text>
    </comment>
    <comment ref="A51" authorId="0" shapeId="0">
      <text>
        <r>
          <rPr>
            <b/>
            <sz val="9"/>
            <color indexed="81"/>
            <rFont val="Tahoma"/>
            <family val="2"/>
            <charset val="204"/>
          </rPr>
          <t>Автор:</t>
        </r>
        <r>
          <rPr>
            <sz val="9"/>
            <color indexed="81"/>
            <rFont val="Tahoma"/>
            <family val="2"/>
            <charset val="204"/>
          </rPr>
          <t xml:space="preserve">
описание удалить1130
</t>
        </r>
      </text>
    </comment>
    <comment ref="B110" authorId="0" shapeId="0">
      <text>
        <r>
          <rPr>
            <b/>
            <sz val="9"/>
            <color indexed="81"/>
            <rFont val="Tahoma"/>
            <family val="2"/>
            <charset val="204"/>
          </rPr>
          <t>Автор:</t>
        </r>
        <r>
          <rPr>
            <sz val="9"/>
            <color indexed="81"/>
            <rFont val="Tahoma"/>
            <family val="2"/>
            <charset val="204"/>
          </rPr>
          <t xml:space="preserve">
нет мероприятия</t>
        </r>
      </text>
    </comment>
    <comment ref="B180" authorId="0" shapeId="0">
      <text>
        <r>
          <rPr>
            <b/>
            <sz val="9"/>
            <color indexed="81"/>
            <rFont val="Tahoma"/>
            <family val="2"/>
            <charset val="204"/>
          </rPr>
          <t>Автор:</t>
        </r>
        <r>
          <rPr>
            <sz val="9"/>
            <color indexed="81"/>
            <rFont val="Tahoma"/>
            <family val="2"/>
            <charset val="204"/>
          </rPr>
          <t xml:space="preserve">
удалить перенести9544
</t>
        </r>
      </text>
    </comment>
    <comment ref="B345" authorId="0" shapeId="0">
      <text>
        <r>
          <rPr>
            <b/>
            <sz val="9"/>
            <color indexed="81"/>
            <rFont val="Tahoma"/>
            <family val="2"/>
            <charset val="204"/>
          </rPr>
          <t>Автор:</t>
        </r>
        <r>
          <rPr>
            <sz val="9"/>
            <color indexed="81"/>
            <rFont val="Tahoma"/>
            <family val="2"/>
            <charset val="204"/>
          </rPr>
          <t xml:space="preserve">
удалить 793
</t>
        </r>
      </text>
    </comment>
    <comment ref="O353" authorId="0" shapeId="0">
      <text>
        <r>
          <rPr>
            <b/>
            <sz val="9"/>
            <color indexed="81"/>
            <rFont val="Tahoma"/>
            <family val="2"/>
            <charset val="204"/>
          </rPr>
          <t>Автор:</t>
        </r>
        <r>
          <rPr>
            <sz val="9"/>
            <color indexed="81"/>
            <rFont val="Tahoma"/>
            <family val="2"/>
            <charset val="204"/>
          </rPr>
          <t xml:space="preserve">
1900
</t>
        </r>
      </text>
    </comment>
    <comment ref="A406" authorId="0" shapeId="0">
      <text>
        <r>
          <rPr>
            <b/>
            <sz val="9"/>
            <color indexed="81"/>
            <rFont val="Tahoma"/>
            <family val="2"/>
            <charset val="204"/>
          </rPr>
          <t>Автор:</t>
        </r>
        <r>
          <rPr>
            <sz val="9"/>
            <color indexed="81"/>
            <rFont val="Tahoma"/>
            <family val="2"/>
            <charset val="204"/>
          </rPr>
          <t xml:space="preserve">
удалить</t>
        </r>
      </text>
    </comment>
    <comment ref="K435" authorId="0" shapeId="0">
      <text>
        <r>
          <rPr>
            <b/>
            <sz val="9"/>
            <color indexed="81"/>
            <rFont val="Tahoma"/>
            <family val="2"/>
            <charset val="204"/>
          </rPr>
          <t>Автор:</t>
        </r>
        <r>
          <rPr>
            <sz val="9"/>
            <color indexed="81"/>
            <rFont val="Tahoma"/>
            <family val="2"/>
            <charset val="204"/>
          </rPr>
          <t xml:space="preserve">
8300</t>
        </r>
      </text>
    </comment>
  </commentList>
</comments>
</file>

<file path=xl/sharedStrings.xml><?xml version="1.0" encoding="utf-8"?>
<sst xmlns="http://schemas.openxmlformats.org/spreadsheetml/2006/main" count="3475" uniqueCount="923">
  <si>
    <t xml:space="preserve">Перелік та етапи виконання ПРСР на 2021 - 2025 роки </t>
  </si>
  <si>
    <t>№ з/п</t>
  </si>
  <si>
    <t>Найменування заходів</t>
  </si>
  <si>
    <t>шт./км*</t>
  </si>
  <si>
    <t>Усього</t>
  </si>
  <si>
    <t>Наявність проектної документації на початок прогнозного періоду (так/ні)</t>
  </si>
  <si>
    <t>Стан виконання ПВР</t>
  </si>
  <si>
    <t>Стан виконання БМР</t>
  </si>
  <si>
    <t>обсяг фінансування, тис. грн (без ПДВ)</t>
  </si>
  <si>
    <t>Перевірка</t>
  </si>
  <si>
    <t>Створюваний резерв потужності/ пропускної здатності, МВт</t>
  </si>
  <si>
    <t>Джерело фінансування</t>
  </si>
  <si>
    <t>Критерії (відповідно до підпунтку 3.2.6 глави 3.2 КСР)</t>
  </si>
  <si>
    <t>Обгрунтування включення до ПРСР (СПР, технічний стан, ПРСП, вимога ОСП тощо), вказати назву документа та сторінку</t>
  </si>
  <si>
    <t>Стислий опис робіт</t>
  </si>
  <si>
    <t>К-сть*</t>
  </si>
  <si>
    <t>Кошторисна/ оціночна вартість БМР тис. грн (без ПДВ)</t>
  </si>
  <si>
    <t>початок (квартал, рік)</t>
  </si>
  <si>
    <t>закінчення (квартал, рік)</t>
  </si>
  <si>
    <t>Нове будівництво об'єктів системи розподілу</t>
  </si>
  <si>
    <t>1.1.</t>
  </si>
  <si>
    <t>Підстанції рівня напруги 110 (154, 220) кВ, усього</t>
  </si>
  <si>
    <t>шт</t>
  </si>
  <si>
    <t>1.2.</t>
  </si>
  <si>
    <t>Підстанції рівня напруги 35 (27,5; 20) кВ, усього</t>
  </si>
  <si>
    <t>1.3.</t>
  </si>
  <si>
    <t>Лінії електропередачі рівня напруги 110 кВ, усього</t>
  </si>
  <si>
    <t>км</t>
  </si>
  <si>
    <t>1.4.</t>
  </si>
  <si>
    <t>Лінії електропередачі рівня напруги 35 (27,5; 20) кВ, усього</t>
  </si>
  <si>
    <t>2.</t>
  </si>
  <si>
    <t>Реконструкція, технічне переоснащення об'єктів системи розподілу</t>
  </si>
  <si>
    <t>2.1.</t>
  </si>
  <si>
    <t>2.2.</t>
  </si>
  <si>
    <t>2.3.</t>
  </si>
  <si>
    <t>Лінії електропередачі рівня напруги 110 (154, 220) кВ, усього</t>
  </si>
  <si>
    <t>2.4.</t>
  </si>
  <si>
    <t>3.</t>
  </si>
  <si>
    <t>Нове будівництво об'єктів системи розподілу рівня напруги 10 (6); 0,4 кВ</t>
  </si>
  <si>
    <t>4.</t>
  </si>
  <si>
    <t>Реконструкція, технічне переоснащення об'єктів системи розподілу рівня напруги 10 (6); 0,4 кВ</t>
  </si>
  <si>
    <t>4.1.</t>
  </si>
  <si>
    <t>ТП</t>
  </si>
  <si>
    <t>4.2.</t>
  </si>
  <si>
    <t>ЛЕП</t>
  </si>
  <si>
    <t>Заходи зі зниження нетехнічних витрат електричної енергії</t>
  </si>
  <si>
    <t>Впровадження та розвиток автоматизованих систем диспетчерсько–технологічного керування (АСДТК)</t>
  </si>
  <si>
    <t>Впровадження та розвиток інформаційних технологій</t>
  </si>
  <si>
    <t>Впровадження та розвиток систем зв'язку</t>
  </si>
  <si>
    <t>Модернізація та закупівля колісної техніки</t>
  </si>
  <si>
    <t>Інше</t>
  </si>
  <si>
    <t xml:space="preserve">                          Регіональна філія «Донецька залізниця»</t>
  </si>
  <si>
    <t>Нове будівництво об'єктів системи розподілу </t>
  </si>
  <si>
    <t>Лінії електропередачі рівня напруги 35 (27,5; 20) кВ</t>
  </si>
  <si>
    <t>2.1.1.</t>
  </si>
  <si>
    <t>ПС 110 кВ «Cіверськ тягова»  (РЗА)</t>
  </si>
  <si>
    <t>так</t>
  </si>
  <si>
    <t xml:space="preserve">2 кв. 2018 </t>
  </si>
  <si>
    <t xml:space="preserve">3 кв. 2018 </t>
  </si>
  <si>
    <t>1 кв. 2023</t>
  </si>
  <si>
    <t>4 кв. 2023</t>
  </si>
  <si>
    <t>Амортизаційні відрахування, дохід від перетоків реактивної е/е</t>
  </si>
  <si>
    <t>1;2</t>
  </si>
  <si>
    <t xml:space="preserve">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</si>
  <si>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пристроїв РЗА</t>
  </si>
  <si>
    <t>ПС 110 кВ «Cіверськ тягова»  (щит керування)</t>
  </si>
  <si>
    <t>1 кв. 2024</t>
  </si>
  <si>
    <t xml:space="preserve">4 кв. 2024 </t>
  </si>
  <si>
    <t>Заміна щитової</t>
  </si>
  <si>
    <t>ПС 110 кВ «Cіверськ тягова»  (ВРП 110, 35 кВ)</t>
  </si>
  <si>
    <t xml:space="preserve">2 кв. 2014 </t>
  </si>
  <si>
    <t xml:space="preserve">3 кв. 2014 </t>
  </si>
  <si>
    <t>1 кв. 2021</t>
  </si>
  <si>
    <t xml:space="preserve">4 кв. 2021 </t>
  </si>
  <si>
    <t>Заміна опорних конструкцій, порталів, розєднувачів 110,35кВ, вимикачів 110,35кВ, ТТ,ТН-110,35кВ</t>
  </si>
  <si>
    <t>2.1.2.</t>
  </si>
  <si>
    <t>ПС 110 кВ «Шевченко тягова»</t>
  </si>
  <si>
    <t xml:space="preserve">2 кв. 2019 </t>
  </si>
  <si>
    <t xml:space="preserve">4 кв. 2019 </t>
  </si>
  <si>
    <t>Заміна опорних конструкцій,  порталів, розєднувачів 110кВ – 10шт, вимикача 110кВ – 1 шт, ТТ,ТН-110кВ</t>
  </si>
  <si>
    <t>2.1.3.</t>
  </si>
  <si>
    <t>ПС 110 кВ «Зелений Клин тягова» (ВРП-110кВ)</t>
  </si>
  <si>
    <t>ні</t>
  </si>
  <si>
    <t xml:space="preserve">2 кв. 2025 </t>
  </si>
  <si>
    <t xml:space="preserve">3 кв. 2025 </t>
  </si>
  <si>
    <t>1 кв. 2026</t>
  </si>
  <si>
    <t>4 кв. 2026</t>
  </si>
  <si>
    <t>Заміна опорних конструкцій,  порталів, розєднувачів 110кВ, вимикача 110кВ – 1 шт, ТТ,ТН-110кВ</t>
  </si>
  <si>
    <t>2.1.4.</t>
  </si>
  <si>
    <t>ПС 110 кВ «Кальчик тягова» (ВРП-110кВ)</t>
  </si>
  <si>
    <t xml:space="preserve">1 кв. 2019 </t>
  </si>
  <si>
    <t xml:space="preserve">1 кв. 2022 </t>
  </si>
  <si>
    <t>4 кв. 2022</t>
  </si>
  <si>
    <t>Заміна відокремлювачів та короткозамикачів на елегазові вимикачі з встановленням секційних розєднувачів, панелей РЗА</t>
  </si>
  <si>
    <t>ПС 110 кВ «Кальчик тягова» (ВРП-110кВ Винос обліку на МБН)</t>
  </si>
  <si>
    <t xml:space="preserve">1 кв. 2018 </t>
  </si>
  <si>
    <t xml:space="preserve">4 кв. 2018 </t>
  </si>
  <si>
    <t xml:space="preserve">1 кв. 2021 </t>
  </si>
  <si>
    <t>4 кв. 2021</t>
  </si>
  <si>
    <t>Улаштування точок комерційного обліку електричної енергії для визначення обсягів надходження та відпуску електричної енергії по приєднанням ПЛ-110 кВ Встановлення вимірювальних трансформаторів струму та напруги, лічильники</t>
  </si>
  <si>
    <t>2.1.5.</t>
  </si>
  <si>
    <t>ПС 110 кВ «Південнодонбаська тягова» (АКБ)</t>
  </si>
  <si>
    <t xml:space="preserve">1 кв. 2020 </t>
  </si>
  <si>
    <t xml:space="preserve">4 кв. 2020 </t>
  </si>
  <si>
    <t xml:space="preserve">1 кв. 2024 </t>
  </si>
  <si>
    <t>Заміна акумуляторної батареї</t>
  </si>
  <si>
    <t>2.1.6.</t>
  </si>
  <si>
    <t>ПС 110 кВ "Сартана тягова" МБН</t>
  </si>
  <si>
    <t xml:space="preserve">4 кв. 2022 </t>
  </si>
  <si>
    <t>ПС 110 кВ "Сартана тягова" (АКБ)</t>
  </si>
  <si>
    <t>2.1.7.</t>
  </si>
  <si>
    <t>ПС 110 кВ "Карань тягова"</t>
  </si>
  <si>
    <t>заміна секційного масляного вимикача на елегазовий</t>
  </si>
  <si>
    <t>2.1.8.</t>
  </si>
  <si>
    <t>ПС 110 кВ «Удачна тягова»</t>
  </si>
  <si>
    <t xml:space="preserve">2 кв. 2022 </t>
  </si>
  <si>
    <t>Заміна високовольтних вводів, вимикачів 110кВ – 3шт, заміна РЗА, роз’єднувачів 110 кВ – 8шт, вимикачів 10кВ – 11шт, ТС,ТН-10кВ.</t>
  </si>
  <si>
    <t>2.1.9.</t>
  </si>
  <si>
    <t>ПС 110 кВ «Очеретине тягова»</t>
  </si>
  <si>
    <t xml:space="preserve">1 кв. 2023 </t>
  </si>
  <si>
    <t xml:space="preserve">4 кв. 2023 </t>
  </si>
  <si>
    <t>Заміна високовольтних вводів, вимикачів 110кВ – 3шт, заміна РЗА, роз’єднувачів 110 кВ – 9шт, вимикачів 10кВ – 11шт.</t>
  </si>
  <si>
    <t>2.1.12.</t>
  </si>
  <si>
    <t>ПС 110 кВ «Дружківка тягова» ВРП 110 кВ</t>
  </si>
  <si>
    <t>4 кв. 2024</t>
  </si>
  <si>
    <t>1;3</t>
  </si>
  <si>
    <t>Заміна опорних залізобетонних конструкцій, кабельних каналів, вимикачів 110кВ, роз’єднувачів 110кВ  ТН-110,  маслонаповнених вводів</t>
  </si>
  <si>
    <t>ПС 110 кВ «Дружківка тягова» (МБН, Порталі)</t>
  </si>
  <si>
    <t xml:space="preserve">1 кв. 2016 </t>
  </si>
  <si>
    <t xml:space="preserve">4 кв. 2016 </t>
  </si>
  <si>
    <t>1 кв. 2022</t>
  </si>
  <si>
    <t>Заміна опорних залізобетонних конструкцій</t>
  </si>
  <si>
    <t>2.1.13.</t>
  </si>
  <si>
    <t>ПС 110 кВ « Костянтинівка тягова»</t>
  </si>
  <si>
    <t>Заміна опорних залізобетонних конструкцій, кабельних каналів, вимикачів 110кВ – 3шт, роз’єднувачів 110кВ – 6шт., ТН-110,  маслонаповнених вводів, РЗА-110,10кВ, вимикачів 10кВ 12шт, щита керування, РЗА-110,10кВ, акумуляторної батареї</t>
  </si>
  <si>
    <t>2.1.16.</t>
  </si>
  <si>
    <t>ПС 110 кВ «Язикове тягова» (ВРП-35кВ)</t>
  </si>
  <si>
    <t>Заміна вимикачів 35кВ – 5шт, роз’єднувачів 35кВ – 11шт, ТН, ТС-35кВ</t>
  </si>
  <si>
    <t>2.1.21.</t>
  </si>
  <si>
    <t>ПС 110 кВ «Барвінкове тягова»</t>
  </si>
  <si>
    <t xml:space="preserve">1 кв. 2025 </t>
  </si>
  <si>
    <t xml:space="preserve">4 кв. 2025 </t>
  </si>
  <si>
    <t>Заміна опорних залізобетонних конструкцій, кабельних каналів, вимикачів 110кВ – 2шт, роз’єднувачів 110кВ – 7шт., ТН-110,  маслонаповнених вводів, РЗА-110,10кВ, вимикачів 10кВ 12шт, щита керування, РЗА-110,10кВ</t>
  </si>
  <si>
    <t>Донецька область</t>
  </si>
  <si>
    <t>2.2.2.</t>
  </si>
  <si>
    <t>ПС 35 кВ «Славкурорт»</t>
  </si>
  <si>
    <t xml:space="preserve">1 кв. 2014 </t>
  </si>
  <si>
    <t xml:space="preserve">4 кв. 2014 </t>
  </si>
  <si>
    <t xml:space="preserve">При реконструкції необхідно виконати заміну обладнання:
 Трансформатори струму 35 кВ ,Трансформатори напруги 35 кВ, Роз’єднувачі РНДЗ-35кВ,  ОПН-35, Клемні шафи 35кВ ,Шафи КРУН-10кВ (6 комірок) з обладнанням МВ-10кВ , ТН-10 кВ ,  Шафа живлення та обігріву ШПОВ, Акумуляторну батарею з підзарядним пристроєм; Силові та контрольні кабелі;Районний трансформатор 35/10 кВ; Трансформатори власних потреб 35/0,23,Заміна силових трансформаторів  Т-3,4 потужністю 2*6300 кВА. реконструкція КРУН-10кВ </t>
  </si>
  <si>
    <t>2.4.1.</t>
  </si>
  <si>
    <t>ПЛ-35 кВ «ЕЧЕ Слов’янськ – РЕМС»</t>
  </si>
  <si>
    <t>Заміна металевих опор, проводу АС-95 на провід АС-120, грозозахисного тросу С-35</t>
  </si>
  <si>
    <t>зах.</t>
  </si>
  <si>
    <t>економія ТВЕ</t>
  </si>
  <si>
    <t xml:space="preserve">                    Регіональна філія «Львівська залізниця»</t>
  </si>
  <si>
    <t>2021 рік</t>
  </si>
  <si>
    <t>2022 рік</t>
  </si>
  <si>
    <t>2023 рік</t>
  </si>
  <si>
    <t>2024 рік</t>
  </si>
  <si>
    <t>2025 рік</t>
  </si>
  <si>
    <t>1.3.1.</t>
  </si>
  <si>
    <t>ЛЕП-110 "ПС-330 "Луцьк-Північна" - ПС-110 "Ківерці-110/38,5/27,5-т"</t>
  </si>
  <si>
    <t xml:space="preserve"> 1 кв 2025</t>
  </si>
  <si>
    <t>4 кв 2025</t>
  </si>
  <si>
    <t>1 кв 2026</t>
  </si>
  <si>
    <t>4 кв 2027</t>
  </si>
  <si>
    <t>Амортизація</t>
  </si>
  <si>
    <t>1.</t>
  </si>
  <si>
    <t>Удосконалення показника надійності електропостачання у системі розподілу</t>
  </si>
  <si>
    <t>Будівництво ПЛ-110 кВ резервного живлення ПС 110/ 38,5/27,5 "Ківерці-т"</t>
  </si>
  <si>
    <t>ПС 110/27,5/6/10 кВ Клепарів-тягова</t>
  </si>
  <si>
    <t>4 кв. 2020</t>
  </si>
  <si>
    <t xml:space="preserve">1. 3. 6. </t>
  </si>
  <si>
    <t xml:space="preserve">Обладнання ПС введено в експлуатацію з 1987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</si>
  <si>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ВД1-110, ВД2-110, ВД3-110, ВД4-110 Заміна роз’єднувачів  ВРУ-110 кВ, Заміна АБ - ОРzS-420, 
Заміна Т5-1 ТМ-1000/6/04 та 
Т5-2 ТМ-1000/0,4/10 на один ТМ-1000/6/10
Заміна ТН-110, ТС-110. Реконструкція ВРУ-27,5 кВ,  РУ-10кВ із заміною вимикачів та розєднувачів. Заміну компенсуючого пристрою</t>
  </si>
  <si>
    <t>ПС 110/27,5/10 кВ "Підбірці тягова"</t>
  </si>
  <si>
    <t>1. 2. 6. 10.</t>
  </si>
  <si>
    <t xml:space="preserve">Обладнання ПС введено в експлуатацію з 1989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</si>
  <si>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Т5-1 ТМ-1000/6/04 та </t>
  </si>
  <si>
    <t>ПС 110/35/10 кВ «Кам’янобрід тягова»</t>
  </si>
  <si>
    <t xml:space="preserve">Обладнання ПС введено в експлуатацію з 1971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</si>
  <si>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Т5-2 ТМ-1000/0,4/10 на один ТМ-1000/6/10</t>
  </si>
  <si>
    <t>ПС 110/35/10 кВ «Судова Вишня  тягова»</t>
  </si>
  <si>
    <t>4 кв. 2025</t>
  </si>
  <si>
    <t xml:space="preserve">Обладнання ПС введено в експлуатацію з 1971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</si>
  <si>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ТН-110, ТС-110. Реконструкція ВРУ-27,5 кВ,  РУ-10кВ із заміною вимикачів та розєднувачів. Заміну компенсуючого пристрою</t>
  </si>
  <si>
    <t xml:space="preserve"> ПС 110/35/10 кВ “Рудки”</t>
  </si>
  <si>
    <t xml:space="preserve">Обладнання ПС введено в експлуатацію з 1967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</si>
  <si>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ВТ1 110кВ, МГ-110
Заміна ВТ2 110кВ, МГ-110
Заміна ВВв1-35кВ, ВМК-35Б
Заміна ВВв2-35кВ, ВМК-35Б</t>
  </si>
  <si>
    <t xml:space="preserve"> ПС 110/35/10кВ «Самбір»</t>
  </si>
  <si>
    <t>4 кв. 2027</t>
  </si>
  <si>
    <t>Заміна ВС-110,МКП-110 кВ
Заміна ВТ1 110кВ, МГ-110
Заміна ВТ2 110кВ, МГ-110
Заміна ВВв1-35кВ, ВМК-35Б
Заміна ВВв2-35кВ, ВМК-35Б</t>
  </si>
  <si>
    <t>ЕЧЕ-23 ПС 110/35/10кВ «Старий Самбір»</t>
  </si>
  <si>
    <t xml:space="preserve">Обладнання ПС введено в експлуатацію з 1967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</si>
  <si>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Переоснащення ВРП -35 кВ
Заміна ВВв1-35кВ, ВМК-35Б
Заміна ВВв2-35кВ, ВМК-35Б</t>
  </si>
  <si>
    <t>ПС/110/10кВ «Ясениця»"</t>
  </si>
  <si>
    <t xml:space="preserve">4 кв. 2026 </t>
  </si>
  <si>
    <t xml:space="preserve">Обладнання ПС введено в експлуатацію з 1979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</si>
  <si>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ВТ1 110кВ, ММО-110</t>
  </si>
  <si>
    <t xml:space="preserve"> ПС/110/10кВ «Бойківська»</t>
  </si>
  <si>
    <t xml:space="preserve">Обладнання ПС введено в експлуатацію з 1967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</si>
  <si>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СК-12  ОД-КЗ 110кВ</t>
  </si>
  <si>
    <t>2.1.10.</t>
  </si>
  <si>
    <t xml:space="preserve"> ПС/110/10кВ «Турка»</t>
  </si>
  <si>
    <t>1. 3. 6.</t>
  </si>
  <si>
    <t xml:space="preserve">Обладнання ПС введено в експлуатацію з 1968 та 1974 роки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</si>
  <si>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1ТН-110кВ, НКФ-110
Заміна 2ТН-110кВ, НКФ-110                                                                                                                      Заміна ВЛ-Яблунька110,  МКП-110 кВ Заміна ВЛ-Бойківська110,
МКП-110 кВ  Заміна ВЛ-Розлуч110   
МКП-110 кВ
Заміна ВТ1 110кВ, МГ-110
Заміна ВС-110,МКП-110 кВ
Заміна ОВ-110,МКП-110 кВ
Заміна ВТ2 110кВ, МГ-110</t>
  </si>
  <si>
    <t>2.1.11.</t>
  </si>
  <si>
    <t xml:space="preserve"> ПС/110/10кВ «Соколики»</t>
  </si>
  <si>
    <t xml:space="preserve">Обладнання ПС введено в експлуатацію з 1967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</si>
  <si>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акумуляторної батереї СК-12 </t>
  </si>
  <si>
    <t xml:space="preserve"> ПС/110/10кВ «Сянки»</t>
  </si>
  <si>
    <t xml:space="preserve">Обладнання ПС введено в експлуатацію з 1983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</si>
  <si>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ВС-110,МКП-110 кВ
Заміна ВЛ-122,МКП-110 кВ
Заміна ВЛ-Сянки-Соколики, МКП-110 кВ ОД-КЗ-110
</t>
  </si>
  <si>
    <t xml:space="preserve"> ПС/110/10кВ «Розлуч»</t>
  </si>
  <si>
    <t xml:space="preserve">Обладнання ПС введено в експлуатацію з 1967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</si>
  <si>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1ТН-110кВ, НКФ-110 Заміна 2ТН-110кВ, НКФ-110 Заміна СК-10    ОД-КЗ-110</t>
  </si>
  <si>
    <t>2.1.14.</t>
  </si>
  <si>
    <t>ПС 110/10кВ «Яблунька»</t>
  </si>
  <si>
    <t xml:space="preserve">1 кв. 2026 </t>
  </si>
  <si>
    <t xml:space="preserve">Обладнання ПС введено в експлуатацію з 1976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</si>
  <si>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ВС-110кВ, МКП 110
Заміна 1ТН-110кВ, НКФ-1110 Заміна 2ТН-110кВ, НКФ-1110
Заміна СК-10   ОД-КЗ-110
</t>
  </si>
  <si>
    <t>2.1.15.</t>
  </si>
  <si>
    <t>ПС 110/10кВ «Добрівляни»</t>
  </si>
  <si>
    <t xml:space="preserve">Заміна ВС-110кВ, МКП 110
Заміна 1ТН-110кВ, НКФ-110
Заміна 2ТН-110кВ, НКФ-1110
Заміна акумуляторної СК-10
</t>
  </si>
  <si>
    <t xml:space="preserve">ПС 110/10 кВ Щирець </t>
  </si>
  <si>
    <t xml:space="preserve">Обладнання ПС введено в експлуатацію з 1962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</si>
  <si>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ВД1-110, ВД2-110, КЗ1-110,КЗ2-110
Заміна роз’єднувачів ВРУ-110 кВ
Заміна ВС-110  Заміна ВЛ-10
</t>
  </si>
  <si>
    <t>2.1.17.</t>
  </si>
  <si>
    <t>ПС 110/10 кВ «Бескид тягова»</t>
  </si>
  <si>
    <t xml:space="preserve">Заміна ВД1-110, ВД2-110, КЗ1-110,КЗ2-110 
Заміна ВС-110
Заміна роз’єднувачів 
ВРУ-110 кВ Заміна ВЛ-10
</t>
  </si>
  <si>
    <t>2.1.18.</t>
  </si>
  <si>
    <t>ПС 110/35/10 кВ «Лавочне</t>
  </si>
  <si>
    <t xml:space="preserve">Обладнання ПС введено в експлуатацію з 1956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</si>
  <si>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ВД2-110, ОД2-110
Заміна  ВС-110 кВ
Заміна роз’єднувачів 
ВРУ-110 кВ
Заміна роз’єднувачів 
ВРУ-35 кВ   Заміна ВЛ-10
Заміна старої СК-12
</t>
  </si>
  <si>
    <t>2.1.19.</t>
  </si>
  <si>
    <t>ПС 110/10 кВ «Любенці»</t>
  </si>
  <si>
    <t xml:space="preserve">Обладнання ПС введено в експлуатацію з 1963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</si>
  <si>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ВС-110 кВ Заміна роз’єднувачів 
ВРУ-110 кВ    Заміна ВЛ-10
</t>
  </si>
  <si>
    <t>2.1.20.</t>
  </si>
  <si>
    <t>ПС 110/10 кВ «Сколе »</t>
  </si>
  <si>
    <t xml:space="preserve">Обладнання ПС введено в експлуатацію з 1961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</si>
  <si>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ВС-110 кВ 
Заміна ВЛ-10
Заміна роз’єднувачів 
ВРУ-110 кВ
Заміна старої СК-6
</t>
  </si>
  <si>
    <t>ПС 110/10 кВ П’ятничани</t>
  </si>
  <si>
    <t xml:space="preserve">Обладнання ПС введено в експлуатацію з 1987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</si>
  <si>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роз’єднувачів 
ВРУ-110 кВ
Заміна ВЛ-10
Заміна старої СК-12
</t>
  </si>
  <si>
    <t>2.1.22.</t>
  </si>
  <si>
    <t xml:space="preserve">ПС 110/10 кВ Гніздичів </t>
  </si>
  <si>
    <t xml:space="preserve">Обладнання ПС введено в експлуатацію з 1981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</si>
  <si>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ВД1-110, ВД2-110, КЗ1-110,КЗ2-110
Заміна вимикача ВС-110 кВ
Заміна ВЛ-10 Заміна роз’єднувачів ВРУ-110 кВ      Заміна СК-12
</t>
  </si>
  <si>
    <t>2.1.23.</t>
  </si>
  <si>
    <t>ПС 110/35/27,5 кВ «Здолбунів»</t>
  </si>
  <si>
    <t xml:space="preserve">Обладнання ПС введено в експлуатацію з 1964-1965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</si>
  <si>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В1-110, В2-110, В3-110, В4-110, ВС-110, В110Т-1, В110 Т2 
Заміна роз’єднувачів ВРУ-110 кВ,
Заміна вимикачів В31, В33, ВС35, В35Т1,В35Т2,В35Т3, В35Т4 Заміна роз’єднувачів ВРУ-35 кВ
</t>
  </si>
  <si>
    <t>2.1.24.</t>
  </si>
  <si>
    <t>ПС 110/35/27,5 кВ «Радивилів»</t>
  </si>
  <si>
    <t xml:space="preserve">4кв. 2025 </t>
  </si>
  <si>
    <t xml:space="preserve">Заміна В32, В33, В34, В35Т1, В35Т2.              Заміна роз’єднувачів 
ВРУ-35 кВ
</t>
  </si>
  <si>
    <t>2.1.25.</t>
  </si>
  <si>
    <t>ПС 110/35/10 кВ «181 км»</t>
  </si>
  <si>
    <t>1кв. 2022</t>
  </si>
  <si>
    <t>1. 2.</t>
  </si>
  <si>
    <t xml:space="preserve">Обладнання ПС введено в експлуатацію з 1968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</si>
  <si>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 влаштування шатрового даху                                            ЗамінаРЛН-110/600
Заміна   СК-10   АО-2.32.-6 2,2 кВ,                        
</t>
  </si>
  <si>
    <t>2.1.26.</t>
  </si>
  <si>
    <t>ПС 110/35/10 кВ «Жорнава»</t>
  </si>
  <si>
    <t xml:space="preserve">Заміна     вимикачів
 Заміна    СК-12
</t>
  </si>
  <si>
    <t>2.1.27.</t>
  </si>
  <si>
    <t>ПС 110/35/10 кВ «Великий Березний»</t>
  </si>
  <si>
    <t>4кв. 2021</t>
  </si>
  <si>
    <t xml:space="preserve">Обладнання ПС введено в експлуатацію з 1961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</si>
  <si>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РЛН-110/600</t>
  </si>
  <si>
    <t>2.1.28.</t>
  </si>
  <si>
    <t>ПС 110/35/10 кВ «Скотарськ»</t>
  </si>
  <si>
    <t xml:space="preserve"> 
Заміна МКП-110, 
 Заміна РНДЗ-110/630  
</t>
  </si>
  <si>
    <t>2.1.29.</t>
  </si>
  <si>
    <t>ПС 110/27,5/10 кВ «Тернопіль»</t>
  </si>
  <si>
    <t>1 кв. 2018</t>
  </si>
  <si>
    <t>2 кв. 2021</t>
  </si>
  <si>
    <t>Реконструкція ВРП-27,5 кВ передбачає заміну ввідних 2 масляних вимикачів ВБЗО-27,5 1998 року випуску на вакуумні 27,5 кВ в комплекті з трансформаторами струму та 4 роз'єднувачів, встановлення пристрою захисту МРЗС – 2 комплекти;</t>
  </si>
  <si>
    <t>2.1.30.</t>
  </si>
  <si>
    <t>ПС 110/27,5/10 кВ «Красне»</t>
  </si>
  <si>
    <t xml:space="preserve">1 кв. 2027 </t>
  </si>
  <si>
    <t xml:space="preserve">Обладнання ПС введено в експлуатацію з 1965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</si>
  <si>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вимикачів та роз’єднувачів ВРУ-110, 27,5 кВ      Заміна Т1 та Т2 два трансформатора ТДНГЕ-20000/110/27/10 на два трансформатора 40000/110/27/10  </t>
  </si>
  <si>
    <t>2.1.31.</t>
  </si>
  <si>
    <t>ПС 110/35/10 кВ «Мостиська 2 тягова»</t>
  </si>
  <si>
    <t xml:space="preserve">Обладнання ПС введено в експлуатацію з 1971р.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</si>
  <si>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ВД1-110, ВД2-110
Заміна роз’єднувачів ВРУ-110 кВ
</t>
  </si>
  <si>
    <t>2.1.32.</t>
  </si>
  <si>
    <t>ПС 110/27,5 кВ «Ківерці»</t>
  </si>
  <si>
    <t xml:space="preserve">Заміна ОД110, КЗ110  Заміна роз’єднувача  ВРУ-110 кВ
ТФНД110, ТФЗМ110
</t>
  </si>
  <si>
    <t>2.1.33.</t>
  </si>
  <si>
    <t>ПС 110/35/10 кВ "Любінь Великий"</t>
  </si>
  <si>
    <t xml:space="preserve">Обладнання ПС введено в експлуатацію з 1971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</si>
  <si>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Заміна ВС-110 МКП-110,ВТ-1 110 МГ-110,ВТ-2 110 МГ-110 3 шт. Заміна 2ТН-35 ЗНОМ-35 3шт. ВВв1-35,ВВв2-35 ВМК-35Б 2 шт.</t>
  </si>
  <si>
    <t>2.1.34.</t>
  </si>
  <si>
    <t>ПС 110/10кВ «Стрілки»</t>
  </si>
  <si>
    <t xml:space="preserve">Обладнання ПС введено в експлуатацію з 1977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</si>
  <si>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ВТ1 110кВ, ММО-110
Заміна ВТ2 110кВ, ММО-110
</t>
  </si>
  <si>
    <t>2.1.35.</t>
  </si>
  <si>
    <t>ПС 110/35/10 кВ «173 км тягова»</t>
  </si>
  <si>
    <t>Влаштування шатрового даху</t>
  </si>
  <si>
    <t>2.1.36.</t>
  </si>
  <si>
    <t>ПС 110/35/10 кВ «Вовчий»</t>
  </si>
  <si>
    <t xml:space="preserve"> влаштування шатрового даху,   Т1 ТРДН-25000/110-79У1  заміна високовольтних маслонаповнених вводів ГБТМ/0-45-110/630У1,</t>
  </si>
  <si>
    <t>2.1.37.</t>
  </si>
  <si>
    <t>ПС 110/10 кВ «Чинадієво»</t>
  </si>
  <si>
    <t>Заміна вимикачів та роз’єднувачів 
ВРУ-110 кВ</t>
  </si>
  <si>
    <t>2.1.38.</t>
  </si>
  <si>
    <t>ПС 110/35/10 кВ «Перечин тягова»</t>
  </si>
  <si>
    <t xml:space="preserve"> влаштування шатрового даху,                                         Заміна 
АЗЛ-31-4 1440об/хв 0,25кВ
</t>
  </si>
  <si>
    <t>2.1.39.</t>
  </si>
  <si>
    <t>ПС 110/10 кВ В.Синевидне</t>
  </si>
  <si>
    <t xml:space="preserve">Заміна ВД2-110, ОД2-110
Заміна вимикача ВС-110 кВ
Заміна роз’єднувачів 
ВРУ-110 кВ Заміна ВЛ-10
</t>
  </si>
  <si>
    <t>2.2.1.</t>
  </si>
  <si>
    <t>ТП  35/10 кВ Дубляни-Львівські</t>
  </si>
  <si>
    <t xml:space="preserve">Обладнання ПС введено в експлуатацію з 1968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</si>
  <si>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МВВ1-35  Заміна роз’єднувачів ВРУ-35 кВ
Заміна ВЛ-ТП-35/10 – ТП-45, 
ВЛ-ТП-35/10 – ТП-48, ВЛ-ТП-35/10 – ТП-498
</t>
  </si>
  <si>
    <t>ПС 35/10 кВ "Пісочна"</t>
  </si>
  <si>
    <t xml:space="preserve">Обладнання ПС введено в експлуатацію з 1962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</si>
  <si>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В1-35, В2-35,ВС-35, ВТ1,2-35
Заміна роз’єднувачів ВРУ-35 кВ
Заміна ВЛ-10
Заміна старої СК-12
</t>
  </si>
  <si>
    <t>2.2.3.</t>
  </si>
  <si>
    <t>ПС 35/10 кВ Стрий"</t>
  </si>
  <si>
    <t xml:space="preserve">4кв. 2024 </t>
  </si>
  <si>
    <t xml:space="preserve">До установка ВРУ-35
Заміна роз’єднувачів 
 ВРУ-35 кВ  Заміна вимикачів ВРУ-35 кВ   Заміна ВЛ-10
</t>
  </si>
  <si>
    <t>2.2.4.</t>
  </si>
  <si>
    <t>ПС 35/10 «Мукачево»</t>
  </si>
  <si>
    <t xml:space="preserve">Обладнання ПС введено в експлуатацію з 1956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</si>
  <si>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ЗамінаРЛН-35/600,
Вимикачів,
 Заміна РЛН-35/600
Система охолодження  
4А-Л63А4У1  0,25кВ
</t>
  </si>
  <si>
    <t>2.2.5.</t>
  </si>
  <si>
    <t>ПС 35/10 «Чоп»</t>
  </si>
  <si>
    <t xml:space="preserve">Обладнання ПС введено в експлуатацію з 1970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</si>
  <si>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вимикачів
ВЛ-315, ВС-35, ВЛ-318
</t>
  </si>
  <si>
    <t>2.2.6.</t>
  </si>
  <si>
    <t>ПС 35/10 «Ужгород»</t>
  </si>
  <si>
    <t xml:space="preserve">Заміна вимикачів МКП-35,
ЗамінаРЛН-35/600
</t>
  </si>
  <si>
    <t>2.2.7.</t>
  </si>
  <si>
    <t>ПС/35/10кВ «Дрогобич»</t>
  </si>
  <si>
    <t xml:space="preserve">Обладнання ПС введено в експлуатацію з 1975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</si>
  <si>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вимикачів на приєднаннях ВТ1 35кВ, ВТ2 35 кВ типуСК-35
</t>
  </si>
  <si>
    <t>2.2.8.</t>
  </si>
  <si>
    <t>ПС 35/6 кВ «Скнилів-Т»</t>
  </si>
  <si>
    <t xml:space="preserve">Обладнання ПС введено в експлуатацію з 1985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</si>
  <si>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Реконструкція РУ-35, заміна вимикачів та розєднувачів РУ-35 кВ</t>
  </si>
  <si>
    <t>2.2.9.</t>
  </si>
  <si>
    <t>ПС 35/10 кВ «Шкло тягова»</t>
  </si>
  <si>
    <t xml:space="preserve">Обладнання ПС введено в експлуатацію з 1976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</si>
  <si>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вимикачів та розєднувачів РУ-35, 10 кВ, заміна акумуляторної батареї
</t>
  </si>
  <si>
    <t>2.2.10.</t>
  </si>
  <si>
    <t>ПС 35/10 кВ «Воловець тягова»</t>
  </si>
  <si>
    <t xml:space="preserve">Обладнання ПС введено в експлуатацію з 1975 р.                                                                    
Технічний стан обладнання  не відповіда вимогам ГКД 34.35.604-96"Технічне обслуговування пристроїв", ГКД 340.000.002-97 "Визначення економічної ефективності капітальних вкладень в енергетику" додаток 3  "Норми амортизаційних відрахувань та строк служби елементів електричних мереж" </t>
  </si>
  <si>
    <t xml:space="preserve">Заміна вимикачів та розєднувачів РУ-35, 10 кВ, 
</t>
  </si>
  <si>
    <t>2.4.1</t>
  </si>
  <si>
    <t>ЛЕП-35 "Жидачів-Пісочна " двухланцюгова Л-31, Л-32</t>
  </si>
  <si>
    <t xml:space="preserve">Реконструкція ЛЕП-35кВ  </t>
  </si>
  <si>
    <t>од</t>
  </si>
  <si>
    <t>–</t>
  </si>
  <si>
    <t>Амортизаційні відрахування, дохід від перетоків реактивної е/е, фынансова допомога</t>
  </si>
  <si>
    <t>технічний стан</t>
  </si>
  <si>
    <t>1. 3. 9.</t>
  </si>
  <si>
    <t>технічний стан, приведення обліку вимогам ККО</t>
  </si>
  <si>
    <t>-</t>
  </si>
  <si>
    <t>Технічний стан. Доукомплектація робочіх місць</t>
  </si>
  <si>
    <t>Придбання компьютерів робочих станцій, МФУ</t>
  </si>
  <si>
    <t>Амортизаційні відрахування, дохід від перетоків реактивної е/е, прибуток на виробничі інвестиції</t>
  </si>
  <si>
    <t>Доукомплектування парку автотракторної техніки. Технічний стан.</t>
  </si>
  <si>
    <t>заміна морально застарілого та фізично зношеного  автоппарку</t>
  </si>
  <si>
    <t>Доукомплектування,заміна обладнання та пристроїв для забезпечення показників якості, надійності електропостачання.</t>
  </si>
  <si>
    <t>Заміна зношеного обладнання, придбання нового.</t>
  </si>
  <si>
    <t xml:space="preserve">                         Регіональна філія «Одеська залізниця»</t>
  </si>
  <si>
    <t>Підстанції рівня напруги 110 (150, 220) кВ, усього</t>
  </si>
  <si>
    <t>ПС 110/27,5/10 кВ ПС Колосівка, ВРП-110 кВ</t>
  </si>
  <si>
    <t>2 кв.2021</t>
  </si>
  <si>
    <t>4 кв.2021</t>
  </si>
  <si>
    <t>2 кв.2023</t>
  </si>
  <si>
    <t>4 кв.2023</t>
  </si>
  <si>
    <t>1, 2, 6</t>
  </si>
  <si>
    <t>Технічний стан обладнання ПС не відповідає вимогам нормативних документів</t>
  </si>
  <si>
    <t>Заміна ОД-КЗ на елегазові вимикачі; заміна МКП-110 на елегазовий вимикач з трансформаторами струму; заміна роз’єднувачів, шлейфів, трансформаторів напруги</t>
  </si>
  <si>
    <t>ПС 110/27,5/10 кВ ПС Колосівка, щитова</t>
  </si>
  <si>
    <t>2 кв.2024</t>
  </si>
  <si>
    <t>4 кв.2024</t>
  </si>
  <si>
    <t>1, 2, 8</t>
  </si>
  <si>
    <t xml:space="preserve">Заміна панелей управління та захисту на шафи управління, автоматики та захисту (типу ШУАЗ) з використанням пристроїв мікропроцесорного захисту (типу МРЗС-05 або аналог), заміну пристроїв загальної підстанційної сигналізації, кіл оперативного струму, власних потреб </t>
  </si>
  <si>
    <t>ПС 110/27,5/10 кВ ПС Колосівка, акумуляторна батарея</t>
  </si>
  <si>
    <t>2 кв.2022</t>
  </si>
  <si>
    <t>4 кв.2022</t>
  </si>
  <si>
    <t>1, 2</t>
  </si>
  <si>
    <t>Заміна акумуляторної батареї із підзарядним пристроєм</t>
  </si>
  <si>
    <t>ПС 110/27,5/10 кВ ПС Колосівка,  ВРП-27,5 кВ</t>
  </si>
  <si>
    <t>2 кв.2025</t>
  </si>
  <si>
    <t>4 кв.2025</t>
  </si>
  <si>
    <t>2 кв.2026</t>
  </si>
  <si>
    <t>4 кв.2026</t>
  </si>
  <si>
    <t>Заміна масляного вимикача ДПР-2 на вакуумний із трансформатором струму; заміна масляних вимикачів 27,5 кВ на вакуумні з трансформаторами струму ВВ-1;2, ТСН-2, ЗМВ, фід. к/м №3. Улаштування приладів обліку електроенергії</t>
  </si>
  <si>
    <t>ПС 110/27,5/10 кВ ПС Колосівка,  ВРП-10 кВ</t>
  </si>
  <si>
    <t>4 кв.2027</t>
  </si>
  <si>
    <t xml:space="preserve"> Заміна масляних вимикачів 10 кВ на вакуумні фід. №№1,2,3,4,5,6. </t>
  </si>
  <si>
    <t>ПС 110/35/27,5/10 кВ “Сербка”, ВРП-110 кВ</t>
  </si>
  <si>
    <t>Заміна МКП-110 на елегазовий вимикач з трансформаторами струму; заміна роз’єднувачів , трансформаторів напруги.</t>
  </si>
  <si>
    <t>ПС 110/35/27,5/10 кВ “Сербка”, ВРП-35 кВ</t>
  </si>
  <si>
    <t>Заміна масляних вимикачів ВВ-1,2; СМВ; фід. №3, РПТ-1,2 на вакуумні з трансформаторами струму із застосуванням мікропроцесорних пристроїв.</t>
  </si>
  <si>
    <t>ПС 110/35/27,5/10 кВ “Сербка”, ВРП 27,5 кВ</t>
  </si>
  <si>
    <t xml:space="preserve">Заміна масляних вимикачів 27,5 кВ ВВ-1,2; ТСН-1,2 на вакуумні із трансформаторами струму, вимикачів фід. к/м №№ 1,2,3,4,5, ЗМВ на вакуумні з трансформаторами струму. Улаштування приладів обліку електроенергії. </t>
  </si>
  <si>
    <t>ПС 110/35/27,5/10 кВ “Сербка”, ВРП 10 кВ</t>
  </si>
  <si>
    <t>1, 2, 9</t>
  </si>
  <si>
    <t>Заміна масляних вимикачів 10 кВ ВВ-1,2; фід №№2,3.</t>
  </si>
  <si>
    <t>ПС 110/27,5/10 кВ “Білгород-Дністровський”, акумуляторна батарея</t>
  </si>
  <si>
    <t>2 кв.2020</t>
  </si>
  <si>
    <t>4 кв.2020</t>
  </si>
  <si>
    <t>ПС 110/27,5/10 кВ “Білгород-Дністровський”, ВРП-10 кВ</t>
  </si>
  <si>
    <t>1; 2; 3; 6</t>
  </si>
  <si>
    <t>Заміна комірок КРУН-10 кВ I та II секції шин. Улаштування приладів обліку електроенергії</t>
  </si>
  <si>
    <t>ПС 110/27,5/10 кВ “Одеса-Застава I”, акумуляторна батарея</t>
  </si>
  <si>
    <t>ПС 110/27,5/10 кВ “Одеса-Застава I”, ВРП-10 кВ</t>
  </si>
  <si>
    <t>ПС 110/27,5/10 кВ “Берегова”, ВРП-110 кВ</t>
  </si>
  <si>
    <t xml:space="preserve">Заміна МКП-110 ВВ №1,2,3,4 на елегазові вимикачі з трансформаторами струму 600/5.У другу стадію: заміна МКП-110 СВ, ОВ, ТП-1,2  з трансформаторами струму </t>
  </si>
  <si>
    <t>ПС 110/27,5/10 кВ “Берегова”, акумуляторна батарея</t>
  </si>
  <si>
    <t>ПС 110/35/27,5 кВ “Завадівка”, щитова</t>
  </si>
  <si>
    <t>2 кв.2027</t>
  </si>
  <si>
    <t>Заміна шаф управління, захисту, сигналізації Т-1, Т-2; СВ-110; РПТ-1, РПТ-2, ВРП-35 кВ, ВРП-27,5кВ; КТП-1,2; ЗРП-10кВ, СЦБ-1, СЦБ-2; шафи постійного струму  та змінного струму.</t>
  </si>
  <si>
    <t>ПС 110/35/27,5 кВ “Завадівка”, акумуляторна батарея</t>
  </si>
  <si>
    <t>ПС 110/35/27,5 кВ “Завадівка”, ВРП-35 кВ</t>
  </si>
  <si>
    <t>2 кв.2019</t>
  </si>
  <si>
    <t>4 кв.2019</t>
  </si>
  <si>
    <t>1,2,6</t>
  </si>
  <si>
    <t>Заміна вимикачів С-35, МКП-35, ВМД-35. Монтаж обладнання на конструкціях блочного типу (В-35 з тр-ми струму та роз'єднувачами) всіх приєднань, а саме: В-35 Т-1, В-35 РПТ-1, В-35 Т-2, В-35 РПТ-2, В-35 фідерів №1,2,3,4 – 8 шт, заміну тр-рів напруги ТН-35  1 та  2 с.ш., додаткову установку тр-рів напруги ТН-35  3 с.ш.</t>
  </si>
  <si>
    <t>ПС 110/35/27,5 кВ “Завадівка”, ВРП-27,5 кВ</t>
  </si>
  <si>
    <t>I кв.2019</t>
  </si>
  <si>
    <t>IIкв.2019</t>
  </si>
  <si>
    <t>Заміну вимикачів МКП-35 на вакуумні вимикачі приєднань В-27,5 Т-1; В-27,5 Т-2; В-27,5 - ДПР-1; В-27,5 - ДПР-2; В-35 ТВП-1; В-35 ТВП-2; В-27,5 КП</t>
  </si>
  <si>
    <t>ПС 110/35/27,5 кВ “Шевченко», ВРП-110 кВ</t>
  </si>
  <si>
    <t>Заміна МКП-110 приєднань В-110 Т-1, В-110 АТ-90, ШСВ-110 на елегазові вимикачі з окремими трансформаторами струму</t>
  </si>
  <si>
    <t>ПС 110/35/27,5 кВ “Шевченко», акумуляторна батарея</t>
  </si>
  <si>
    <t>ПС 110/35/27,5 кВ “Шевченко”, ВРП-27,5 кВ</t>
  </si>
  <si>
    <t>Заміна вимикача в КП типу ВВФ-27,5 на вакуумний вимикач</t>
  </si>
  <si>
    <t>ПС 150/35/27,5/10 «Знам’янка», акумуляторна батарея</t>
  </si>
  <si>
    <t>ПС 150/35/27,5/10 «Знам’янка», ВРП-150 кВ</t>
  </si>
  <si>
    <t>1, 2, 3</t>
  </si>
  <si>
    <t>Заміна роз’єднувачів</t>
  </si>
  <si>
    <t>ПС 150/35/27,5/10 «Знам’янка», ВРП-35 кВ</t>
  </si>
  <si>
    <t>Заміна вимикачів МКП-35, роз’єднувачів РНДЗ-2-35/1000 та РНДЗ-1-35/1000; РДЗ-1-35/1000; РНД-35/1000; РЛНД-35/1000, шинні мости з несучими конструкціями від тягових трансформаторів 1Т,2Т до ВРП-35кВ</t>
  </si>
  <si>
    <t>ПС 150/35/27,5/10 «Знам’янка», ВРП-27,5 кВ</t>
  </si>
  <si>
    <t>Заміна масляних вимикачів з вбудованими трансформаторами струму на вакуумні та окремо встановлені трансформаторами струму; заміна роз’єднувачів на нові; заміна контакторів ТВП на вакуумні вимикачі з установкою трансформаторів струму по напрузі 0,23 кВ, рогових розрядників 35кВ на вводах тягових трансформаторів 1Т, 2Т</t>
  </si>
  <si>
    <t>ПС 150/35/27,5/10 «Знам’янка», ВРП-10 кВ</t>
  </si>
  <si>
    <t>ПС 150/35/27,5/10 «Можарово», ВРП-150 кВ</t>
  </si>
  <si>
    <t>1, 2, 3, 6</t>
  </si>
  <si>
    <t>Заміна ОД-КЗ 150 кВ на елегазові вимикачі</t>
  </si>
  <si>
    <t>ПС 150/35/27,5/10 «Можарово», ВРП-35 кВ</t>
  </si>
  <si>
    <t>Заміна розрядників типу РВМ-35, РВС-35 приєднання 1-Т,2-Т, ТН-31, ТН-32  на ОПН, масляних вимикачів з вбудованими трансформаторами струму на вакуумні та окремо встановлені трансформаторами струму; заміна роз’єднувачів</t>
  </si>
  <si>
    <t>ПС 150/35/27,5/10 «Можарово», ВРП-27,5 кВ</t>
  </si>
  <si>
    <t>Заміна масляного вимикача ДПР-1 з вбудованими трансформаторами струму на вакуумні та окремо встановлені трансформаторами струму; заміна роз’єднувачів</t>
  </si>
  <si>
    <t>ПС 150/35/27,5/10 «Можарово», ВРП-10 кВ</t>
  </si>
  <si>
    <t>Заміна комірок КРУН-10кВ  на комірки сучасного виробництва оснащені приладами РЗА та приладами обліку електричної енергії</t>
  </si>
  <si>
    <t>ПС 150/27,5 кВ “Сугоклея” ВРП-150 кВ</t>
  </si>
  <si>
    <t>Заміна масляних вимикачів типу У-220 приєднань Л-81, Л-82, Л-46, трансформаторів Т-1 та Т-2, секційного С-1 та шинного Ш-1 на елегазові вимикачі з установкою окремих трансформаторів струму</t>
  </si>
  <si>
    <t>ПС 150/27,5 кВ “Сугоклея” ВРП-27,5 кВ</t>
  </si>
  <si>
    <t xml:space="preserve">Виконати технічне переоснащення ВРП-27,5 кВ ТП Сугоклея, а саме заміну масляних вимикачів типу ВМК рік випуску 1983 р. на вакуумні вимикачі. Масляні вимикачі, мають дефекти: розрегулювання під час експлуатації пружинного приводу через механічний знос деталей приводу; підтікання масла з під зварних швів баків вимикачів; незадовільний стан силових контактів; фактично виміряні значення тангенсу кута втрат вводів вимикачів близькі до максимально допустимих нормативних значень; фактично виміряний опір силових контактів постійному струму близький до максимально допустимого нормативного значення; відсутність ремонтної бази, змінних деталей при виконанні ремонтів. </t>
  </si>
  <si>
    <t>ПС 150/27,5 кВ “Сугоклея”, акумуляторна батарея</t>
  </si>
  <si>
    <t>Виконати технічне переоснащення акумуляторних батарей ПС Сугоклея 2003 року встановлення. Переоснащення планується виконати в зв’язку із близьким до граничного терміном експлуатації АБ (в експлуатації 16 років, при встановленому терміні служби АБ  - 18 років ); технічним станом (технічні параметри зменшення ємності АБ на 30% не забезпечують необхідний заряд, в 49 % банок присутній шлам, сколи пластика біля вивідних контактів банок.</t>
  </si>
  <si>
    <t>ПС 150/35/27,5 кВ "Тимково"ВРП-110кВ</t>
  </si>
  <si>
    <t xml:space="preserve">Відповідно до Схеми перспективного розвитку розподільчих електричних мереж 35кВ та вище на період з 2020 до 2029р ПрАТ « Кіровоградобленерго» заплановано приведення схеми живлення ПС 150 кВ «Тимкове -тягова» до проєктної схеми шляхом підвісу другого ланцюга  двоколової ПЛ- 150кВ  «Кварцит- Тимкове тягова».Для  улаштування новоі комірки вводу ПЛ- 150кВ необхідно проведення ПВР і подальша реконструкція  ВРП- 150кВ з </t>
  </si>
  <si>
    <t>технічне переоснащення ВРП -150 кВ. з встановленням нової комірки.</t>
  </si>
  <si>
    <t>ПС 110/35/27,5/10 кВ “Тимково”, акумуляторна батарея</t>
  </si>
  <si>
    <t>ПС 110/35/27,5/10 кВ “Тимково”, щитова</t>
  </si>
  <si>
    <t>ПС 110/35/27,5/10 кВ “Тимково”, ВРП-27,5 кВ</t>
  </si>
  <si>
    <t>Заміна вимикачів компенсуючого пристрою типу ВМКЄ-35 та типу ВВФ-27,5 на вакуумні вимикачі</t>
  </si>
  <si>
    <t>ПС 110/35/27,5/10 кВ “Тимково”, ЗРП-10 кВ</t>
  </si>
  <si>
    <t>Заміна масляних вимикачів на вакуумні</t>
  </si>
  <si>
    <t>ПС 110/27,5/10 кВ “Попелюхи» акумуляторна батарея</t>
  </si>
  <si>
    <t>ПС 110/27,5/10 кВ “Вапнярка», акумуляторна батарея</t>
  </si>
  <si>
    <t>ПС-110/27,5/10 кВ «Яструбинове, ВРП-110 кВ</t>
  </si>
  <si>
    <t>ТАК</t>
  </si>
  <si>
    <t>Заміна вимикачів МКП-110 , роз’єднувачів РНДЗ-1б-110/600 та РНДЗ-2-110/600, заміну ошиновки секцій і приєднань 110 кВ, заміну підвісних і опорних ізоляторів</t>
  </si>
  <si>
    <t>ПС-110/27,5/10 кВ «Яструбинове, акумуляторна батарея</t>
  </si>
  <si>
    <t>ПС-110/27,5/10 кВ «Яструбинове, ВРП-27,5 кВ</t>
  </si>
  <si>
    <t>Заміна морально та фізично застарілого обладнання ВРУ-27,5 кВ на нове (вимикачі ВМУЕ-27,5). Підвищення надійності роботи підстанції та електропостачання.</t>
  </si>
  <si>
    <t>ПС-150/35/27,5 кВ «Помічна», ВРП-150 кВ</t>
  </si>
  <si>
    <t xml:space="preserve">Заміна вимикачів У-220 з, роз’єднувачів РНДЗ-1б-110/600 та РНДЗ-2-110/600, трансформатори напруги НКФ-220, загороджувачів РЗ-600, фільтрів ОФП-4, конденсаторів зв’язку, заміну ошиновки секцій і приєднань 150 кВ, заміну підвісних і опорних ізоляторів 150 кВ </t>
  </si>
  <si>
    <t>ПС-150/35/27,5 кВ «Плетений Ташлик», ВРП-150 кВ</t>
  </si>
  <si>
    <t xml:space="preserve">Заміна вимикача У-220, ОД-КЗ, заміна загороджувачів РЗ-600, фільтрів ОФП-4, конденсаторів зв’язку, заміну ошиновки секцій і приєднань 150 кВ, заміну підвісних і опорних ізоляторів 150 кВ </t>
  </si>
  <si>
    <t>ПС 110/35/27,5 кВ “Чубівка”. ВРП-27,5 кВ</t>
  </si>
  <si>
    <t>Заміна масляних вимикачів ВВ-1,2; ТСН-1,2 на вакуумні з трансформаторами струму,улаштування обліку електроенергії; заміна вимикачів 27,5 кВ фід. к/м №№1,2,3,4,5, ЗМВ на вакуумні з трансформатором струму. Улаштування приладів обліку електроенергії. Трансформатори напруги, ошинування</t>
  </si>
  <si>
    <t>ПС 110/35/27,5/10 кВ “Куліндорово”, ВРП-27,5 кВ</t>
  </si>
  <si>
    <t>ПС 110/35/27,5/10 кВ “Куліндорово”, ВРП-35 кВ</t>
  </si>
  <si>
    <t xml:space="preserve"> Заміна масляних вимикачів РПТ-1,2 на вакуумні з трансформаторами струму.</t>
  </si>
  <si>
    <t>ПС 110/35/27,5/10 кВ “Куліндорово”, ВРП-10 кВ</t>
  </si>
  <si>
    <t>Заміна масляних вимикачів 10 кВ на вакуумні із застосуванням мікропроцесорних пристроїв ВВ-1,2; СМВ; фідерів №№ 1,2,3,4.</t>
  </si>
  <si>
    <t>ПС 150/35/27,5 кВ “Фундукліївка”, ВРП-27,5 кВ</t>
  </si>
  <si>
    <t>Заміна трансформатора напруги ТН КП НОМ-35 кВ, трансформатора струму КП ТФЗМ-35 кВ, роз'єднувачів РЛНДЗ-35-1-35/600, ізоляторів СТ-35, прохідних ізоляторів 35 кВ, реактора РБКА на ФРОМ -3200/35, заміну кабельної продукції</t>
  </si>
  <si>
    <t>ПС 110/35/27,5/10 кВ “Аккаржа", ВРП-10 кВ</t>
  </si>
  <si>
    <t>Заміна масляних вимикачів ВВ-1, СМВ, фід №№ 1,2,5,7,8,10 на вакуумні із застосуванням пристроїв мікропроцесорного захисту</t>
  </si>
  <si>
    <t>ПС 110/35/27,5/10 кВ “Аккаржа", ВРП-27,5 кВ</t>
  </si>
  <si>
    <t>Заміна вимикачів фідерів к/м №№ 2,3,5,6, ЗМВ на вакуумні з трансформаторами струму. Улаштування приладів обліку електроенергії.</t>
  </si>
  <si>
    <t>ПС 150/35/27,5 кВ "Шарівка", акумуляторна батарея</t>
  </si>
  <si>
    <t>Виконати технічне переоснащення акумуляторних батарей 2001  року встановлення ПС Шарівка. Переоснащення планується виконати в зв’язку із понаднормативним терміном експлуатації АБ (в експлуатації 18 років, при встановленому терміні служби АБ  - 18 років ); технічним станом (технічні параметри зменшення ємності АБ на 23% не забезпечують необхідний заряд, в 58 % банок присутній шлам, сколи пластика біля вивідних контактів банок.</t>
  </si>
  <si>
    <t>ПС 150/35/27,5 кВ "Шарівка", ВРП-150 кВ</t>
  </si>
  <si>
    <t>Виконати технічне переоснащення ВРП-150 кВ ТП Шарівка, а саме заміну масляних вимикачів типу У-220  3- фазні (2 шт.) випуску 1986р.р. на елегазові вимикачі. Масляні вимикачі, мають дефекти: розрегулювання під час експлуатації пружинного приводу через механічний знос деталей приводу; підтікання масла з під зварних швів баків вимикачів; незадовільний стан силових контактів; фактично виміряні значення тангенсу кута втрат вводів вимикачів близькі до максимально допустимих нормативних значень; фактично виміряний опір силових контактів постійному струму близький до максимально допустимого нормативного значення; відсутність ремонтної бази, змінних деталей при виконанні ремонтів.</t>
  </si>
  <si>
    <t>ПС 150/35/27,5 кВ "Шарівка", ВРП-27,5 кВ</t>
  </si>
  <si>
    <t>Виконати технічне переоснащення ВРП-27,5 кВ ТП Шарівка, а саме заміну масляних вимикачів типу ВМК рік випуску 1986 р. на вакуумні вимикачі. Масляні вимикачі, мають дефекти: розрегулювання під час експлуатації пружинного приводу через механічний знос деталей приводу; підтікання масла з під зварних швів баків вимикачів; незадовільний стан силових контактів; фактично виміряні значення тангенсу кута втрат вводів вимикачів близькі до максимально допустимих нормативних значень; фактично виміряний опір силових контактів постійному струму близький до максимально допустимого нормативного значення; відсутність ремонтної бази, змінних деталей при виконанні ремонтів.  Переоснащення планується виконати в зв’язку із понаднормативним терміном експлуатації масляних вимикачів.</t>
  </si>
  <si>
    <t>ПС 110/27,5/10 кВ “Балта", ВРП-110 кВ</t>
  </si>
  <si>
    <t>Виконати технічне переоснащення ВРП-110кВ ТП Балта а саме заміну двох комплектів ВД/КЗ та СВ-110 на  вимикачі. Переоснащення планується виконати в зв’язку із понаднормативним терміном експлуатації обладнання  – 27 років, технічним станом (відсутність ремонтної бази; незадовільний стан силових контактів; мікротріщини та сколи фарфору;  пошкоджене армування). Підвищення надійності роботи підстанції, прийому та розподілу електричної енергії.</t>
  </si>
  <si>
    <t>ПС 150/35/27,5 кВ "Осикувата", акумуляторна батарея</t>
  </si>
  <si>
    <t>Виконати технічне переоснащення акумуляторних батарей ПС Осикувата 2006 року встановлення. Переоснащення планується виконати в зв’язку із близьким до граничного терміном експлуатації АБ (в експлуатації 16 років, при встановленому терміні служби АБ  - 18 років ); технічним станом (технічні параметри зменшення ємності АБ на 31% не забезпечують необхідний заряд, в 55 % банок присутній шлам, сколи пластика біля вивідних контактів банок.</t>
  </si>
  <si>
    <t>ПС 150/35/27,5 кВ "Осикувата", ВРП 27,5 кВ</t>
  </si>
  <si>
    <t>Виконати технічне переоснащення ВРП-27,5 кВ ТП Осикувата, а саме заміну масляних вимикачів типу ВМК рік випуску 1984 р. на вакуумні вимикачі. Масляні вимикачі, мають дефекти: розрегулювання під час експлуатації пружинного приводу через механічний знос деталей приводу; підтікання масла з під зварних швів баків вимикачів; незадовільний стан силових контактів; фактично виміряні значення тангенсу кута втрат вводів вимикачів близькі до максимально допустимих нормативних значень; фактично виміряний опір силових контактів постійному струму близький до максимально допустимого нормативного значення; відсутність ремонтної бази, змінних деталей при виконанні ремонтів. Переоснащення планується виконати в зв’язку із понаднормативним терміном експлуатації масляних вимикачів.</t>
  </si>
  <si>
    <t>ПС 150/35/27,5 кВ "Олександрія", щитова</t>
  </si>
  <si>
    <t>Виконати технічне переоснащення РЗА і управління силовим обладнанням ПС Олександрія, а саме передбачити  заміну існуючих панелей управління та захисту на шафи управління, автоматики та захисту (типу ШУАЗ) з використанням пристроїв мікропроцесорного захисту (типу МРЗС-05 або аналог), заміну пристроїв загальної підстанційної сигналізації, кіл оперативного струму, власних потреб із збереженням основних принципів реалізації захисту, покращення візуального контролю за оперативною схемою підстанції завдяки впровадженню дворівневої системи індикації.
Переоснащення планується виконати в зв’язку із понаднормативним терміном експлуатації реле (в експлуатації 47 років, при встановленому терміні служби реле - 12 років ); технічним станом (технічні параметри реле близькі до максимально допустимих; контакти реле рухомі, нерухомі, мають знос контактної системи;не забезпечують необхідний заряд;відсутність ремонтної бази;коефіцієнт повернення близький до гранично допустимого.</t>
  </si>
  <si>
    <t>ПС 35/10/6кВ ЦРП Знам’янка, ВРП-10 кВ</t>
  </si>
  <si>
    <t>Заміна комірок КРУН-10кВ на комірки сучасного виробництва оснащені приладами РЗА та приладами обліку електричної енергії</t>
  </si>
  <si>
    <t>ПС 35/10/6кВ ЦРП Знам’янка, ВРП-6 кВ</t>
  </si>
  <si>
    <t>Заміна в існуючих комірках КРУН-6кВ масляних вимикачів на вакуумні з оснащенням приладами РЗА, заміна трансформаторів струму та оснащення приладами обліку електричної енергії</t>
  </si>
  <si>
    <t>ПС 35/10/6кВ ЦРП Знам’янка, щитова</t>
  </si>
  <si>
    <t>Виконати технічне переоснащення РЗА і управління силовим обладнанням ЦРП Знам'янка, а саме передбачити  заміну існуючих панелей управління та захисту на шафи управління, автоматики та захисту  з використанням пристроїв мікропроцесорного захисту (типу МРЗС-05 або аналог), заміну пристроїв загальної підстанційної сигналізації, кіл оперативного струму, власних потреб із збереженням основних принципів реалізації захисту, покращення візуального контролю за оперативною схемою підстанції завдяки впровадженню дворівневої системи  індикації. Переоснащення планується виконати в зв’язку із понаднормативним терміном експлуатації реле (в експлуатації 47 років, при встановленому терміні служби реле  - 12 років); технічним станом (технічні параметри реле близькі до максимально допустимих; контакти реле рухомі, нерухомі, мають знос контактної системи; не забезпечують необхідний заряд;  відсутність ремонтної бази;  коефіцієнт повернення близький до гранично допустимого; на деяких елементах реле є сліди корозії).</t>
  </si>
  <si>
    <t>ЗТП-1 27,5/10/0,4 м. Долинська ВРП 10 кВ</t>
  </si>
  <si>
    <t>Заміна комірок типу КСО-366, КСО-2 в РП-10 вакуумні з оснащенням приладами РЗА та комірок типу ЩО-70, кабельних виходів, заміна трансформаторів струму та оснащення приладами обліку електричної енергії</t>
  </si>
  <si>
    <t>ЗТП-1 27,5/10/0,4 м. Долинська ВРП 27,5</t>
  </si>
  <si>
    <t>Виконати технічне переоснащення ВРП 27,5 кВ Долинська, а саме провести технічне переоснащення ВРП 27,5 кВ ввідної комірок  з заміною застарілого та фізично зношеного масляного вимикача  рік вводу в експлуатацію – 1978, на вакуумний вимикач. Масляний вимикач, має дефекти: розрегулювання під час експлуатації пружинного приводу через механічний знос деталей приводу; підтікання масла з під зварних швів баків вимикачів, зливних кранів; незадовільний стан силових контактів; фактично виміряні значення тангенсу кута втрат вводів вимикачів близькі до максимально допустимих нормативних значень; фактично виміряний опір силових контактів постійному струму близький до максимально допустимого нормативного значення; відсутність ремонтної бази, змінних деталей при виконанні ремонтів.</t>
  </si>
  <si>
    <t>ПС 35/10/6кВ  ЦРП Суботці ЗРП 6 кВ</t>
  </si>
  <si>
    <t>Виконати технічне переоснащення обладнання ЗРП-6 кВ  ЦРП Суботці, а саме передбачити заміну існуючих масляних вимикачів у кількості 7шт, встановлених в комірки КРУ2-6   на вакуумні вимикачі, встановлені в комірки сучасного виробництва . Передбачити заміну обладнання комірок: заміну трансформаторів струму на нові; заміну комутаційної апаратури. Переоснащення планується виконати в зв’язку із понаднормативним терміном експлуатації обладнання комірок (вимикачі 46 років; трансформатори струму – 45 років), технічним станом (відсутність ремонтної бази; незадовільні результати електричних вимірів; незадовільний стан силових контактів; підтікання оливи; мікротріщини та сколи фарфору).</t>
  </si>
  <si>
    <t>ТП 35/10, ст. Чорноморська</t>
  </si>
  <si>
    <t>Виконати технічне переоснащення із заміною високовольтних вимикачів, трансформаторів струму, розрядників 35 кВ та 10 кВ. Виявлені дефекти: понаднормативний опір контактів вимикача, короблення та обгар ізолюючих пластин дугогасящої камери, тріщини, відслоювання мастики від стінок високовольтних вводів, пошкодження антикорозійного шару та корозія корпусу високовольтних вимикачів ВТ-35/630 та ВММ-10; корозія рами, мікротріщіни в ізоляторах.</t>
  </si>
  <si>
    <t>ПЛ 35 кВ Знам’янка – Суботці Л-1</t>
  </si>
  <si>
    <t>1;2;2;6</t>
  </si>
  <si>
    <t>Технічний стан не відповідає вимогам нормативних документів</t>
  </si>
  <si>
    <t>Заміна металевих опор, проводів, ізоляторів</t>
  </si>
  <si>
    <t>4.1.1.</t>
  </si>
  <si>
    <t xml:space="preserve">3 кв. 2021 </t>
  </si>
  <si>
    <t>4.2.1</t>
  </si>
  <si>
    <t>ПС-35/6 "Залізнична та реконструкція ЛЕП-10 кВ Херсон-Миколаїв, Херсон-Снігурівка, Херсон-Вадим.(ІІ,ІІІ черга)</t>
  </si>
  <si>
    <t>об</t>
  </si>
  <si>
    <t>2 кв.2015</t>
  </si>
  <si>
    <t>4 кв.2015</t>
  </si>
  <si>
    <t>1, 2, 3, 8, 9</t>
  </si>
  <si>
    <t>Заміна проводів, підтримуючих та несучих конструкцій на нові для підвищення надійності електропостачання споживачів та підвищення якості електричної енергії що передається та побудова ПЛ-10 кВ через залізничний міст</t>
  </si>
  <si>
    <t>зах</t>
  </si>
  <si>
    <t>0д</t>
  </si>
  <si>
    <t xml:space="preserve">                              Регіональна філія «Південна залізниця»</t>
  </si>
  <si>
    <t>Полтавська область</t>
  </si>
  <si>
    <t>1.1.1</t>
  </si>
  <si>
    <t>Реконструкція ПС 330 кВ "Кременчук" та організація кабельного заходу в КРУЕ 150 кВ з встановленням нової комірки 150 кВ для приєднання стаціонарної тягової підстанції 150/27,5/10 кВ "Кременчук тягова" АТ "Укрзалізниця" регіональної філії "Південна залізниця" Полтавська область, Кременчуцький район (послуга за приєднання)</t>
  </si>
  <si>
    <t>4 кв 2020</t>
  </si>
  <si>
    <t>1,2,3</t>
  </si>
  <si>
    <t xml:space="preserve">Реконструкція ПС 330 кВ "Кременчук" та організація кабельного заходу в КРУЕ 150 кВ з встановленням нової комірки 150 кВ для приєднання стаціонарної тягової підстанції 150/27,5/10 кВ "Кременчук тягова" </t>
  </si>
  <si>
    <t>1.3</t>
  </si>
  <si>
    <t>Лінії електропередачі рівня напруги 110(154 кВ) кВ, усього</t>
  </si>
  <si>
    <t>Будівництво ПЛ 150 кВ №1 "ПС 330 Кременчук  - Кременчук тягова" АТ "Укрзалізниця"  філія "Південна залізниця" Полтавська область, Кременчуцький район.</t>
  </si>
  <si>
    <t>Будівницво другої лінії ПЛ 154 кВ "ПС 330 кВ Кременчук - Кременчук тягова"</t>
  </si>
  <si>
    <t>2.1.1</t>
  </si>
  <si>
    <t>Технічне переоснащення ПС 110 кВ "т. Мерефа" (ВРП 35)</t>
  </si>
  <si>
    <t>3кв.2020</t>
  </si>
  <si>
    <t>ПС введена в роботу у 1959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</si>
  <si>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Технічне переоснащення ВРП-35кВ: заміна МВ 35 кВ на вакуумні вимикачі 35 кВ</t>
  </si>
  <si>
    <t>Технічне переоснащення ПС110 кВ «т. Шпаківка» (ВРП 35 кВ)</t>
  </si>
  <si>
    <t>ПС введена в роботу у 1970 році Приведення технічного стану основного силового обладнання ВРП 53 кВ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</si>
  <si>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 Технічне переоснащення ВРП-35кВ: заміна МВ 35 кВ на вакуумні вимикачі 35 кВ</t>
  </si>
  <si>
    <t>Технічне переоснащення ПС110 кВ «т. Шпаківка» (ВРП 110 кВ)</t>
  </si>
  <si>
    <t>ПС введена в роботу у 1970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</si>
  <si>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Технічне переоснащення ВРП-110кВ: заміна МВ 110 кВ на елегазові  вимикачі 110 кВ. </t>
  </si>
  <si>
    <t>Технічне переоснащення ПС 110 кВ «т. Рогозянка» (ВРП 110 кВ)</t>
  </si>
  <si>
    <t>3кв.2023</t>
  </si>
  <si>
    <t>Технічне переоснащення ВРП-110кВ: заміна СМВ 110 кВ на елегазовийі  вимикач 110 кВ.</t>
  </si>
  <si>
    <t>Технічне переоснащення ПС 110 кВ «т. Рогозянка» (ВРП 35 кВ)</t>
  </si>
  <si>
    <t>ПС введена в роботу у 1970 році Приведення технічного стану основного силового обладнання ВРП 35 кВ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</si>
  <si>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Технічне переоснащення ПС 110 кВ «т. Нова Водолага» (ВРП 35 кВ)</t>
  </si>
  <si>
    <t>3кв.2024</t>
  </si>
  <si>
    <t>ПС введена в роботу у 1978 році
Забезпечення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</si>
  <si>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Технічне переоснащення ПС 110 кВ «т. Слатине» (РЗА, щитова)</t>
  </si>
  <si>
    <t>ПС введена в роботу у 1979 році
Підтримання устаткування у стані експлуатаційної працездатності.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</si>
  <si>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Технічне переоснащення  щитової підстанції</t>
  </si>
  <si>
    <t>Технічне переоснащення ПС 110 кВ «т. Слатине» (ВРП 110 кВ винос обліку)</t>
  </si>
  <si>
    <t>3кв.2019</t>
  </si>
  <si>
    <t>ПС введена в роботу у 1979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</si>
  <si>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Встановлення трансформаторів струму та напруги 110 кВ класом точності 0,2 S та 0,2 в точках обліку</t>
  </si>
  <si>
    <t>Технічне переоснащення ПС 110 кВ «т. Слатине» (ВРП 35 кВ)</t>
  </si>
  <si>
    <t>3кв.2021</t>
  </si>
  <si>
    <t>ПС введена в роботу у 1979 році
Приведення технічного стану основного силового устаткування ВРП 35 кВ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</si>
  <si>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Технічне переоснащення ВРУ- 35 кВ. </t>
  </si>
  <si>
    <t>Технічне переоснащення ПС 110 кВ «т. Майський» (РЗА, щитова)</t>
  </si>
  <si>
    <t>Технічне переоснащення щитової підстанції</t>
  </si>
  <si>
    <t>Технічне переоснащення ПС 110 кВ «т. Курилівка» (ВРП  110, 10 кВ)</t>
  </si>
  <si>
    <t>ПС введена в роботу у 1971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</si>
  <si>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ВРП-110кВ: заміна МВ Т-1, Т-2 110 кВ на елегазовийі  вимикач 110 кВ.Технічне переоснащення КРУН-10 кВ Заміна масляних вимикичів ВМП-10кВ, РЗА.</t>
  </si>
  <si>
    <t>Технічне переоснащення ПС 110 кВ «т. Курилівка» (РЗА, Щитова)</t>
  </si>
  <si>
    <t>1 кв.2022</t>
  </si>
  <si>
    <t>ПС введена в роботу у 1971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</si>
  <si>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РЗА, технічне переоснащення щитової підстанції. </t>
  </si>
  <si>
    <t>2.1.7</t>
  </si>
  <si>
    <t>Технічне переоснащення ПС 110 кВ  «т.Чугуїв» ( РЗА, щитова)</t>
  </si>
  <si>
    <t>ПС введена в роботу у 1989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</si>
  <si>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Технічне переоснащення ПС 110 кВ  «т.Чугуїв» (ЗРП 10 кВ)</t>
  </si>
  <si>
    <t xml:space="preserve"> Технічне переоснащення ЗРП-10 кВ: заміна МВ на вакуумні вимикачів, РЗА</t>
  </si>
  <si>
    <t>Технічне переоснащення ПС 110 кВ  «т.Чугуїв» (ВРП-110 кВ)</t>
  </si>
  <si>
    <t xml:space="preserve">Технічне переоснащення ВРП-110 кВ, МВ-110 кВ на елегазові вимикачі, РЗА. </t>
  </si>
  <si>
    <t>2.1.8</t>
  </si>
  <si>
    <t>Технічне переоснащення ПС110 кВ  «т.13 км» (ВРП 110 кВ)</t>
  </si>
  <si>
    <t xml:space="preserve">Заміна МВ-110 кВ, на елегазові/вакуумні вимикачі, РЗА. </t>
  </si>
  <si>
    <t>Технічне переоснащення ПС110 кВ  «т.13 км» (АКБ)</t>
  </si>
  <si>
    <t>ПС введена в роботу у 1971 році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</si>
  <si>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Заміна АКБ</t>
  </si>
  <si>
    <t>Технічне переоснащення ПС110 кВ  «т.13 км» (ЗРП 10 кВ, ЗРП 6 кВ)</t>
  </si>
  <si>
    <t xml:space="preserve"> Заміна МВ-10 кВ, МВ-6 кВ на елегазові/вакуумні вимикачі, РЗА.</t>
  </si>
  <si>
    <t>2.1.9</t>
  </si>
  <si>
    <t>Технічне переоснащення ПС 110 кВ «т. Гракове» (ВРП -110 кВ)</t>
  </si>
  <si>
    <t>1 кв.2024</t>
  </si>
  <si>
    <t xml:space="preserve">Зміна СМВ-110 кВ, на елегазові/вакуумні вимикачі, РЗА. </t>
  </si>
  <si>
    <t>2.1.10</t>
  </si>
  <si>
    <t>Технічне переоснащення ПС 110 кВ «т. Булацелівка» (ВРП 110 кВ)</t>
  </si>
  <si>
    <t>3кв.2022</t>
  </si>
  <si>
    <t>ПС введена в роботу у 1972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</si>
  <si>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Технічне переоснащення ВРП-110 кВ: заміна МВ-110 кВ на елегазові вимикачі, РЗА. </t>
  </si>
  <si>
    <t>Технічне переоснащення ПС 110 кВ «т. Булацелівка» (щитова, РЗА)</t>
  </si>
  <si>
    <t xml:space="preserve">РЗА. Технічне переоснащення щитової підстанції. </t>
  </si>
  <si>
    <t>Технічне переоснащення ПС 110 кВ «т. Булацелівка» (РП 27,5 кВ)</t>
  </si>
  <si>
    <t xml:space="preserve"> Технічне переоснащення РП-27,5 кВ: заміна МВ на вакуумні вимикачів, РЗА.</t>
  </si>
  <si>
    <t>Технічне переоснащення ПС 110 кВ «т. Булацелівка» (ЗРП 10 кВ)</t>
  </si>
  <si>
    <t>2.1.18</t>
  </si>
  <si>
    <t>Технічне переоснащення ПС 110 кВ «т.Занки» (ВРП-110 кВ, виносу обліку)</t>
  </si>
  <si>
    <t>1 кв.2019</t>
  </si>
  <si>
    <t>4кв.2019</t>
  </si>
  <si>
    <t>ПС введена в роботу у 1982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</si>
  <si>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Встановлення трансформаторів струму та напруги 110 кВ класом точності 0,2S  та 0,2 в точках обліку надходжень до мереж структурних підрозділів, які за класом точності не відповідають НТД.</t>
  </si>
  <si>
    <t>Технічне переоснащення ПС 110 кВ «т.Занки» (заміна  ВД,КЗ-110 на вакуумні/елегазовівимикачі 110 кВ)</t>
  </si>
  <si>
    <t xml:space="preserve">Заміна ВД,КЗ-110 на вакуумні/елегазовівимикачі 110 кВ в комплекті з пристроямиРЗА та ПА. </t>
  </si>
  <si>
    <t>2.1.12</t>
  </si>
  <si>
    <t>Технічне переоснащення ПС 110 кВ  «т. Тополі» (ВРП 110 кВ, винос обліку)</t>
  </si>
  <si>
    <t>ПС введена в роботу у 1971 році
Зменшення шкідливого впливу на навколишнє природне середовище шляхом заміни кіслотних АБ на не обслуговуємі гелеві АБ.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</si>
  <si>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2.1.11</t>
  </si>
  <si>
    <t>Технічне переоснащення ПС 110 кВ  «т.Біляївка» (ВРП 110 кВ)</t>
  </si>
  <si>
    <t>ПС введена в роботу у 1980 році.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</si>
  <si>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 xml:space="preserve">Технічне переоснащення ВРП-110 кВ: заміна порталів, заміна МВ-110 кВ на елегазові вимикачі, РЗА. </t>
  </si>
  <si>
    <t>Технічне переоснащення ПС 110 кВ  «т.Біляївка» (ВРП 35 кВ)</t>
  </si>
  <si>
    <t>ПС введена в роботу у 1980 році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</si>
  <si>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Технічне переоснащення РП-35 кВ: заміна МВ на вакуумні вимикачів, РЗА.</t>
  </si>
  <si>
    <t>Технічне переоснащення ПС 110 кВ  «т.Біляївка» (РП 10 кВ)</t>
  </si>
  <si>
    <t>Технічне переоснащення РП-10 кВ: заміна МВ на вакуумні вимикачі, РЗА.</t>
  </si>
  <si>
    <t>Технічне переоснащення ПС 110 кВ «т.Трійчате» (РЗА, щитова)</t>
  </si>
  <si>
    <t xml:space="preserve">Технічне переоснащення щитової підстанції. </t>
  </si>
  <si>
    <t>Технічне переоснащення ПС 110кВ  «ГПП-1» (РЗА, щитова)</t>
  </si>
  <si>
    <t>2.1.13</t>
  </si>
  <si>
    <t>Технічне переоснащення ПС 110 кВ «ГПП1» (встановлення пристрою АЧР)</t>
  </si>
  <si>
    <t>4кв.2020</t>
  </si>
  <si>
    <t>ПС введена в роботу у 1981 році
Зменшення шкідливого впливу на навколишнє природне середовище шляхом заміни кіслотних АБ на не обслуговуємі гелеві АБ.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</si>
  <si>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Встановлення пристрою АЧР</t>
  </si>
  <si>
    <t>2.1.14</t>
  </si>
  <si>
    <t>Технічне переоснащення ПС 110 кВ «т.Циганська» (РЗА, щитова)</t>
  </si>
  <si>
    <t>Технічне переоснащення ПС 110 кВ «т.Циганська» (ВРП 110 кВ)</t>
  </si>
  <si>
    <t>4кв.2023</t>
  </si>
  <si>
    <t>ПС введена в роботу у 1961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</si>
  <si>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2.1.15</t>
  </si>
  <si>
    <t>Технічне переоснащення ПС 110кВ  «т.Зміїв» (ВРП 110 кВ)</t>
  </si>
  <si>
    <t>1 кв.2023</t>
  </si>
  <si>
    <t>ПС введена в роботу у 1962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</si>
  <si>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Технічне переоснащення ВРП-110 кВ: , заміна МВ-110 кВ на елегазові. Заміна порталів</t>
  </si>
  <si>
    <t>2.1.16</t>
  </si>
  <si>
    <t>Технічне переоснащення ПС 110 кВ«т. Лозова» (ВРП 110 кВ)</t>
  </si>
  <si>
    <t>1кв.2023</t>
  </si>
  <si>
    <t>ПС введена в роботу у 1959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</si>
  <si>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2.1.17</t>
  </si>
  <si>
    <t>Технічне переоснащення ПС110 кВ  «т. Бірки» (РЗА, ПРВВ-110 кВ)</t>
  </si>
  <si>
    <t>4кв.2022</t>
  </si>
  <si>
    <t>ПС введена в роботу у 1980 році
Забезпечення достатньої пропускної спроможності електричних мереж 110 кВ .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</si>
  <si>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виніс обліку електричної енергії на межу балансової належності </t>
  </si>
  <si>
    <t>Технічне переоснащення ПС110 кВ  «т. Трійчате» (ВРП 110 кВ)</t>
  </si>
  <si>
    <t>4кв.2024</t>
  </si>
  <si>
    <t>ПС введена в роботу у 1980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</si>
  <si>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Технічне переоснащення ВРП-110 кВ: заміна СМВ-110 кВ на елегазовий вимикач, РЗА. </t>
  </si>
  <si>
    <t>Технічне переоснащення ПС110 кВ «т. Козача Лопань» (ВРП-110)</t>
  </si>
  <si>
    <t>Технічне переоснащення ПС110 кВ «т. Козача Лопань» (ВРП-35)</t>
  </si>
  <si>
    <t>2.1.20</t>
  </si>
  <si>
    <t>Технічне переоснащення ПС110 кВ «Полтава Пвденна» (АКБ, ЗПУ)</t>
  </si>
  <si>
    <t>ПС введена в роботу у 2003 році
Зменшення шкідливого впливу на навколишнє природне середовище шляхом заміни кіслотних АБ на не обслуговуємі гелеві АБ.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</si>
  <si>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Заміна АКБ та ЗПУ</t>
  </si>
  <si>
    <t>2.2</t>
  </si>
  <si>
    <t>2.2.1</t>
  </si>
  <si>
    <t>Технічне переоснащення  ПС 35 кВ "т.Новоселівка" (ЗРП 10 кВ)</t>
  </si>
  <si>
    <t>ПС введена в роботу у 1957 році
Забезпечення достатньої пропускної спроможності електричних мереж 35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</si>
  <si>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Технічне переоснащення КРУН-10 кВ</t>
  </si>
  <si>
    <t>Технічне переоснащення ПС 35 кВ «т. Зелений Колодязь» (ВРП 10 кВ)</t>
  </si>
  <si>
    <t>2кв.2024</t>
  </si>
  <si>
    <t>ПС введена в роботу у 1971 році
Забезпечення достатньої пропускної спроможності електричних мереж 35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</si>
  <si>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Технічне переоснащення КРУН-10 кВ: заміна МВ-10 кВ на вакумні вимикачі.  </t>
  </si>
  <si>
    <t>Технічне переоснащення ПС 35 кВ «т. Зелений Колодязь» (ВРП 35 кВ)</t>
  </si>
  <si>
    <t>Технічне переоснащення РП-35 кВ: заміна опорних конструкцій.</t>
  </si>
  <si>
    <t>2.2.3</t>
  </si>
  <si>
    <t>Технічне переоснащення ПС-35 кВ  «т. Безпалівка» (РЗА, щитова)</t>
  </si>
  <si>
    <t>Технічне переоснащення ПС-35 кВ  «т. Безпалівка» (РП 10 кВ)</t>
  </si>
  <si>
    <t>ПС введена в роботу у 1976 році
Забезпечення достатньої пропускної спроможності електричних мереж 110 кВ системи розподілу для потреб Користувачів в Харківському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</si>
  <si>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Технічний стан обладнання  не відповідає вимогам нормативних документів</t>
  </si>
  <si>
    <t>2.3.1.</t>
  </si>
  <si>
    <t>Реконструкція ПЛ 110 кВ Есхар-Чугуев, Гракове-Чугуев-т. Чугуев</t>
  </si>
  <si>
    <t>4 кв 2021</t>
  </si>
  <si>
    <t>Заміна проводів АС-120 довжиною 0,15 км, ізоляторів, несучих конструкцій. Рік введення 1966 рік</t>
  </si>
  <si>
    <t>3.1</t>
  </si>
  <si>
    <t>Будівництво повітрянної лінії 10 кВ ФПЕ-2 від тягової підстанції ЕЧЕ-7 Лозова до 936  км-5ПК м. Лозова</t>
  </si>
  <si>
    <t>2кв.2020</t>
  </si>
  <si>
    <t>Будівницство нової лінії</t>
  </si>
  <si>
    <t>4.1.1</t>
  </si>
  <si>
    <t>Технічне переоснащення ТП-3станція Лозова  в Харківській обл</t>
  </si>
  <si>
    <t>2кв.2019</t>
  </si>
  <si>
    <t>1.2.3</t>
  </si>
  <si>
    <t>інше</t>
  </si>
  <si>
    <t>5</t>
  </si>
  <si>
    <t>6</t>
  </si>
  <si>
    <t>7</t>
  </si>
  <si>
    <t>8</t>
  </si>
  <si>
    <t>0</t>
  </si>
  <si>
    <t>9</t>
  </si>
  <si>
    <t>10</t>
  </si>
  <si>
    <t xml:space="preserve"> </t>
  </si>
  <si>
    <t xml:space="preserve">                            Регіональна філія «Південно-Західна залізниця»</t>
  </si>
  <si>
    <t>1.1.1.</t>
  </si>
  <si>
    <t xml:space="preserve">ПС 110/27,5/10 кВ «Овруч» </t>
  </si>
  <si>
    <t xml:space="preserve">ні </t>
  </si>
  <si>
    <t>Плата за приєднання</t>
  </si>
  <si>
    <t>1;2;5</t>
  </si>
  <si>
    <t>«Правила улаштування електроустановок» 2017р. ГКД 340.000.002-97 "Визначення економічної ефективності капітальних вкладень в енергетику".  «Технічна експлуатація електричних станцій та мереж. Правила» ГКД34.20.507-2003. «Трансформатори силові. Типова інструкція з експлуатації» СОУ 40.1-21677681-07:20096. “Инструкция по техническому описанию и эксплуатации выключателей типа ВМТ-110 кВ».</t>
  </si>
  <si>
    <t xml:space="preserve">Підстанція блочного типу 1. Блок РП-110 кВ, 2 блок РП 10 кВ передбачається з застосуванням вакуумних вимикачів. Обладнання РП 27,5 кВ, ПЛ-10 кВ для району, РП 10 кВ автоблокування, щити власних потреб та правління і захисту, акумуляторна батарея 220 В, а також службово-побутові приміщення та дизель-генератор резервного живлення розміщені в модулях, встановлених на території </t>
  </si>
  <si>
    <t>1.1.2.</t>
  </si>
  <si>
    <t>ПС 110/27,5/10 кВ «Житичі»</t>
  </si>
  <si>
    <t xml:space="preserve">Підстанція блочного типу 1. Блок РП-110 кВ, 2 блок РП 10 кВ передбачається з встановленням вакуумних вимикачів. Обладнання РП 27,5 кВ, ПЛ-10 кВ для району, РП 10 кВ автоблокування, щити власних потреб та правління і захисту, акумуляторна батарея 220 В, а також службово-побутові приміщення та дизель-генератор резервного живлення розміщені в модулях, встановлених на території </t>
  </si>
  <si>
    <t xml:space="preserve">Київська обл. </t>
  </si>
  <si>
    <t>2.1.2.1.</t>
  </si>
  <si>
    <t>ПС-110/35/27,5кВ"Боярка</t>
  </si>
  <si>
    <t>3 кв. 2017</t>
  </si>
  <si>
    <t>4 кв.2017</t>
  </si>
  <si>
    <t>2кв.2021</t>
  </si>
  <si>
    <t xml:space="preserve"> Виніс обліку ел.енергії 110кВ на межу баласнсової належності </t>
  </si>
  <si>
    <t>2.1.2.3.</t>
  </si>
  <si>
    <t>ПС 110/35/27,5 кВ «Фастів»</t>
  </si>
  <si>
    <t xml:space="preserve">так </t>
  </si>
  <si>
    <t>3 кв. 2018</t>
  </si>
  <si>
    <t>4 кв.2018</t>
  </si>
  <si>
    <t>2кв.2025</t>
  </si>
  <si>
    <t>Амортизаційні відрахування, дохід від перетоків реактивної е/е, фінансова допомога</t>
  </si>
  <si>
    <t>встановлення обладнання РУ-35кВ</t>
  </si>
  <si>
    <t xml:space="preserve">Житомирська обл. </t>
  </si>
  <si>
    <t>2.1.3.1.</t>
  </si>
  <si>
    <t xml:space="preserve">ПС 110/35/10 кВ “Чуднів-Волинський” </t>
  </si>
  <si>
    <t>4 кв. 2018</t>
  </si>
  <si>
    <t>заміна вимикачів,  силових трансформаторів та іншого обладнання  ВРП-110кВ</t>
  </si>
  <si>
    <t>ПС 110/35/10 кВ “Чуднів-Волинський” ВРП-35кВ</t>
  </si>
  <si>
    <t xml:space="preserve">2 кв. 202'1 </t>
  </si>
  <si>
    <t>заміна вимикачів,  силових трансформаторів та іншого обладнання  ВРП-35кВ</t>
  </si>
  <si>
    <t>ПС 110/35/10 кВ “Чуднів-Волинський” ВРП-6кВ, ВРП-10кВ, відеоспостереження, блискавкозахист,  інші роботи</t>
  </si>
  <si>
    <t xml:space="preserve">2 кв. 2023 </t>
  </si>
  <si>
    <t>ВРП-6кВ, ВРП-10кВ, відеоспостереження, блискавкозахист,  інші роботи, заміна вимакачы на вакуумны,</t>
  </si>
  <si>
    <t xml:space="preserve">ПС 110/35/10 кВ “Чуднів-Волинський” Заміна панелей керування захисту та обліку у щитовій </t>
  </si>
  <si>
    <t xml:space="preserve">2 кв. 2024 </t>
  </si>
  <si>
    <t>Заміна щітової</t>
  </si>
  <si>
    <t xml:space="preserve">Сумська обл. </t>
  </si>
  <si>
    <t>2.1.4.1.</t>
  </si>
  <si>
    <t xml:space="preserve">ПС 110/27,5/10 кВ “Терещенська” </t>
  </si>
  <si>
    <t xml:space="preserve"> Виніс обліку ел.енергії 110кВ на межу баласнсової належності</t>
  </si>
  <si>
    <t>ПС 110/27,5/10 кВ “Терещенська” ВРП-110 кВ</t>
  </si>
  <si>
    <t>Реконструкція існуючого обладннання РУ-110кВ</t>
  </si>
  <si>
    <t>ПС 110/27,5/10 кВ “Терещенська”  ВРП-10 кВ</t>
  </si>
  <si>
    <t>Реконструкція існуючого обладннання РУ-10кВ</t>
  </si>
  <si>
    <t>2.1.4.2.</t>
  </si>
  <si>
    <t xml:space="preserve">ПС 110/27,5/10 кВ “Хутір-Михайлівський” </t>
  </si>
  <si>
    <t xml:space="preserve">встановлення АСОЕ </t>
  </si>
  <si>
    <t>ПС 110/27,5/10 кВ “Хутір-Михайлівський” ВРП-110кВ</t>
  </si>
  <si>
    <t>заміна вимикачів,  та іншого обладнання  ВРП-110кВ</t>
  </si>
  <si>
    <t>ПС 110/27,5/10 кВ “Хутір-Михайлівський” ВРП-10кВ</t>
  </si>
  <si>
    <t>заміна вимикачів,   та іншого обладнання  ВРП-35кВ</t>
  </si>
  <si>
    <t xml:space="preserve">ПС 110/27,5/10 кВ “Хутір-Михайлівський” Заміна панелей керування у щітовій, охоронна та пожежна сигналізація </t>
  </si>
  <si>
    <t xml:space="preserve">щит керування , встановлення охоронна та пожежна сигналізація </t>
  </si>
  <si>
    <t>Чернігівська обл.</t>
  </si>
  <si>
    <t>2.1.5.1.</t>
  </si>
  <si>
    <t>ПС 110/35/27,5 кВ “Бахмач”</t>
  </si>
  <si>
    <t>3 кв. 2025</t>
  </si>
  <si>
    <t>2 кв. 2027</t>
  </si>
  <si>
    <t>4 кв. 2028</t>
  </si>
  <si>
    <t xml:space="preserve">проектування </t>
  </si>
  <si>
    <t xml:space="preserve">Сумьска обл. </t>
  </si>
  <si>
    <t>2.2.2.1.</t>
  </si>
  <si>
    <t xml:space="preserve">ВРП-35 кВ районної підстанції Київ-Волинський </t>
  </si>
  <si>
    <t>2.2.2.2</t>
  </si>
  <si>
    <t xml:space="preserve">ВРП-27,5кВ «Конотоп» </t>
  </si>
  <si>
    <t>3 кв. 2017 р.</t>
  </si>
  <si>
    <t>4 кв. 2017 р.</t>
  </si>
  <si>
    <t xml:space="preserve">2 кв. 2021 </t>
  </si>
  <si>
    <t>Реконструкція існуючого обладннання РУ-27,5кВ</t>
  </si>
  <si>
    <t>Реконструкція  ТП-594 м. Київ, вул.Зрошувальна 35 (2 сухі трансформатори 630 кВА, КСО, ЗРП-0,4 кВ на КРП-0,4 кВ)</t>
  </si>
  <si>
    <t>4 кв. 2017</t>
  </si>
  <si>
    <t>4.1.2.</t>
  </si>
  <si>
    <t>Реконструкція  РП-508   ст. Київ-Пасажирський в м. Київ, вул. Вокзальна, 1 (КСО-209)</t>
  </si>
  <si>
    <t>4.1.3.</t>
  </si>
  <si>
    <t>Реконструкція ТП-696-10/0,4/6кВ ст.Київ-Товарний, м.Київ вул.Федорова,39</t>
  </si>
  <si>
    <t>4.1.4.</t>
  </si>
  <si>
    <t>"Реконструкція ТП-10 10/0,4кВ м. Жмеринка, вул. Шекінська, 6а ст. Жмеринка</t>
  </si>
  <si>
    <t>4.1.5.</t>
  </si>
  <si>
    <t>Реконструкції ТП-1 10/0,4 кВ ст.Конотоп за адресою Сумська обл., м. Конотоп, 1-пров. Свободи, 24</t>
  </si>
  <si>
    <t>Реконстр РП-51 ст. Борщагівка-Технічна</t>
  </si>
  <si>
    <t>Інше.</t>
  </si>
  <si>
    <t xml:space="preserve">Заміна проводів , опор та іншого обладнання </t>
  </si>
  <si>
    <t>5.</t>
  </si>
  <si>
    <t>6.</t>
  </si>
  <si>
    <t>шт.</t>
  </si>
  <si>
    <t>7.</t>
  </si>
  <si>
    <t>8.</t>
  </si>
  <si>
    <t>9.</t>
  </si>
  <si>
    <t>10.</t>
  </si>
  <si>
    <t xml:space="preserve">                          Регіональна філія «Придніпровська залізниця»</t>
  </si>
  <si>
    <t>ПС 150/35/10 кВ Роздори (ВРП-150 кВ)</t>
  </si>
  <si>
    <t>Ні</t>
  </si>
  <si>
    <t>2 кв 2024</t>
  </si>
  <si>
    <t>4кв 2024</t>
  </si>
  <si>
    <t>2,3,6,8,9</t>
  </si>
  <si>
    <t>ПС введена в роботу у 1959 році
Забезпечення достатньої пропускної спроможності електричних смереж 150 кВ системи розподілу для потреб Користувачів в Дніпровському регіоні. Зменшення шкідливого впливу на навколишнє природне середовище шляхом заміни маслонаповненого устаткування.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Забезпечення готовності електричних мереж відповідати вимогам критерію "N-1". Впровадження «інтелектуальних» лічильників (у точках, де ОСР є стороною, відповідальною за комерційний облік електричної енергії) та автоматизованих систем обліку відповідно до вимог Кодексу комерційного обліку електричної енергії, затвердженого постановою НКРЕКП від 14 березня 2018 року № 311  в рамках виконання зобовязань АТ «Укрзалізниця» передбачених «Планом заходів по забезпеченню достатності обліку в точках комерційного обліку АТ «Укрзалізниця» на перетині з АТ "ДТЕК Дніпровські електромережи».</t>
  </si>
  <si>
    <t>По ВРП-150 кВ передбачено.
Заміна вимірювальних трансформаторів струму та напруги, розєднувачів, розрядників РВС, заміна МВ Л-36А, Л-36Б, С-1 на ЕВ та пристроїв РЗА.
(все обладнання 1959 року введення в експлуатацію).
Улаштування комерційного обліку в колах ЛЕП 150 кВ
Л-36А, Л-36Б, С-1.
Заміна існуючих аналогових пристроїв телемеханіки типу «Лісна» 1970 року.</t>
  </si>
  <si>
    <t>ПС 150/35/10 кВ Письмена (ВРП-150 кВ)</t>
  </si>
  <si>
    <t>2 кв 2023</t>
  </si>
  <si>
    <t>4кв 2023</t>
  </si>
  <si>
    <t>2,3,6,8,10</t>
  </si>
  <si>
    <t>По ВРП-150 кВ передбачено.
Заміна вимірювальних трансформаторів струму та напруги, розєднувачів, розрядників РВС, заміна МВ Л-35А, Л-35Б, С-1 на ЕВ та пристроїв РЗА.
(все обладнання 1959 року введення в експлуатацію).
Улаштування комерційного обліку в колах ЛЕП 150 кВ
Л-35А, Л-35Б, С-1.
Заміна існуючих аналогових пристроїв телемеханіки типу «Лісна» 1970 року.</t>
  </si>
  <si>
    <t>ПС 110(150)/35/10 кВ Чаплине (ВРП-110/150 кВ)</t>
  </si>
  <si>
    <t>2 кв 2020</t>
  </si>
  <si>
    <t>4кв 2020</t>
  </si>
  <si>
    <t>ПС введена в роботу у 1959 році
Забезпечення достатньої пропускної спроможності електричних смереж 150 кВ системи розподілу для потреб Користувачів Дніпровського та Донбаського регіонів. Зменшення шкідливого впливу на навколишнє природне середовище шляхом заміни маслонаповненого устаткування.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Забезпечення готовності електричних мереж відповідати вимогам критерію "N-1". Впровадження «інтелектуальних» лічильників (у точках, де ОСР є стороною, відповідальною за комерційний облік електричної енергії) та автоматизованих систем обліку відповідно до вимог Кодексу комерційного обліку електричної енергії, затвердженого постановою НКРЕКП від 14 березня 2018 року № 311  в рамках виконання зобовязань АТ «Укрзалізниця» передбачених «Планом заходів по забезпеченню достатності обліку в точках комерційного обліку АТ «Укрзалізниця» на перетині з АТ "ДТЕК Дніпровські електромережи».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</si>
  <si>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По ВРП-150 кВ передбачено.
Заміна вимірювальних трансформаторів струму та напруги, розєднувачів, розрядників РВС, заміна ОД/КЗ на ЕВ та пристроїв РЗА.
(все обладнання 1959 року введення в експлуатацію).
По ВРП-110 кВ передбачено.
Заміна розєднувачів, розрядників РВС, заміна МВ-110 кВ Л-1, Л-2,Т-1,Т-2 на ЕВ та пристроїв РЗА. (все обладнання 1959 року введення в експлуатацію).
Заміна існуючих аналогових пристроїв телемеханіки типу «Лісна» 1970 року.</t>
  </si>
  <si>
    <t>ПС 150/35/27,5/6 кВ П'ятихатки (ВРП-150/35/27,5 кВ)</t>
  </si>
  <si>
    <t>Так</t>
  </si>
  <si>
    <t>Амортизаційні відрахування</t>
  </si>
  <si>
    <t>ПС введена в роботу у 1958 році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шляхом заміни ОД/КЗ. Забезпечення готовності електричних мереж відповідати вимогам критерію "N-1". Впровадження «інтелектуальних» лічильників (у точках, де ОСР є стороною, відповідальною за комерційний облік електричної енергії) та автоматизованих систем обліку відповідно до вимог Кодексу комерційного обліку електричної енергії, затвердженого постановою НКРЕКП від 14 березня 2018 року № 311  в рамках виконання зобовязань АТ «Укрзалізниця» передбачених «Планом заходів по забезпеченню достатності обліку в точках комерційного обліку АТ «Укрзалізниця» на перетині з АТ "ДТЕК Дніпровські електромережи».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</si>
  <si>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По ВРП-150 кВ передбачено.
Заміна розєднувачів, розрядників РВС, заміна ОД/КЗ на ЕВ та пристроїв РЗА.
По ВРУ-35 кВ.
Заміна масляних вимикачів у комплекті з РЗА та ПА, заміна розєднувачів ВРУ-35 кВ
(все обладнання ВРУ-35 кВ - 1959 року).
Улаштування комерційного обліку в колі ЛЕП 150 кВ Л-73. Заміна існуючих аналогових пристроїв телемеханіки типу «Лісна» 1970 року.</t>
  </si>
  <si>
    <t>ПС 150/10 кВ Утішна (ВРП-150/10 кВ)</t>
  </si>
  <si>
    <t>2 кв 2018</t>
  </si>
  <si>
    <t>4кв 2018</t>
  </si>
  <si>
    <t>ПС введена в роботу у 1982 році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шляхом заміни ОД/КЗ. Забезпечення готовності електричних мереж відповідати вимогам критерію "N-1". Зменшення шкідливого впливу на навколишнє природне середовище шляхом заміни маслонаповненого устаткування ЗРУ-10 кВ. Впровадження «інтелектуальних» лічильників (у точках, де ОСР є стороною, відповідальною за комерційний облік електричної енергії) та автоматизованих систем обліку відповідно до вимог Кодексу комерційного обліку електричної енергії, затвердженого постановою НКРЕКП від 14 березня 2018 року № 311  в рамках виконання зобовязань АТ «Укрзалізниця» передбачених «Планом заходів по забезпеченню достатності обліку в точках комерційного обліку АТ «Укрзалізниця» на перетині з АТ "ДТЕК Дніпровські електромережи».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</si>
  <si>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r>
      <rPr>
        <b/>
        <sz val="12"/>
        <color theme="1"/>
        <rFont val="Times New Roman"/>
        <family val="1"/>
        <charset val="204"/>
      </rPr>
      <t>По ВРП-150 кВ передбачено.</t>
    </r>
    <r>
      <rPr>
        <sz val="12"/>
        <color theme="1"/>
        <rFont val="Times New Roman"/>
        <family val="1"/>
        <charset val="204"/>
      </rPr>
      <t xml:space="preserve">
Заміна розєднувачів, розрядників РВС, заміна ОД/КЗ на ЕВ та пристроїв РЗА.
(все обладнання 1982 року введення в експлуатацію).
Улаштування комерційного обліку в колі ЛЕП 150 кВ
Л-ТМК-1 та ТМК-2.
</t>
    </r>
    <r>
      <rPr>
        <b/>
        <sz val="12"/>
        <color theme="1"/>
        <rFont val="Times New Roman"/>
        <family val="1"/>
        <charset val="204"/>
      </rPr>
      <t>По ЗРУ-10 кВ передбачено.</t>
    </r>
    <r>
      <rPr>
        <sz val="12"/>
        <color theme="1"/>
        <rFont val="Times New Roman"/>
        <family val="1"/>
        <charset val="204"/>
      </rPr>
      <t xml:space="preserve">
Заміна комірок МВ-10 кВ на комірки з вакуумимиі вимикачами, розєднувачами, вимірювальними трансформаторами струму та пристроями РЗА.
(все обладнання 1982 року введення в експлуатацію).
Заміна існуючих аналогових пристроїв телемеханіки типу «Лісна» 1982 року.</t>
    </r>
  </si>
  <si>
    <t xml:space="preserve">ПС 150/35/10 кВ Мінеральна </t>
  </si>
  <si>
    <t>ПС введена в роботу у 1968 році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шляхом заміни ОД/КЗ. Забезпечення готовності електричних мереж відповідати вимогам критерію "N-1".  Впровадження «інтелектуальних» лічильників (у точках, де ОСР є стороною, відповідальною за комерційний облік електричної енергії) та автоматизованих систем обліку відповідно до вимог Кодексу комерційного обліку електричної енергії, затвердженого постановою НКРЕКП від 14 березня 2018 року № 311  в рамках виконання зобовязань АТ «Укрзалізниця» передбачених «Планом заходів по забезпеченню достатності обліку в точках комерційного обліку АТ «Укрзалізниця» на перетині з АТ "ДТЕК Дніпровські електромережи».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</si>
  <si>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По ВРП-150 кВ передбачено.
Заміна розєднувачів, розрядників РВС, заміна ОД/КЗ на ЕВ та пристроїв РЗА.
(все обладнання 1968 року введення в експлуатацію).
Улаштування комерційного обліку в колі ЛЕП 150 кВ Л-082. Заміна існуючих аналогових пристроїв телемеханіки типу «ЕСТ-62» 1960 року.</t>
  </si>
  <si>
    <t>ПС 150/35/10 кВ  Якимівка (ВРП-150 кВ)</t>
  </si>
  <si>
    <t>ПС введена в роботу у 1970 році
Забезпечення достатньої пропускної спроможності електричних мереж 150 кВ системи розподілу для потреб Користувачів Дніпровської ЕС.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шляхом заміни ОД/КЗ. Забезпечення готовності електричних мереж відповідати вимогам критерію "N-1".  Впровадження «інтелектуальних» лічильників (у точках, де ОСР є стороною, відповідальною за комерційний облік електричної енергії) та автоматизованих систем обліку відповідно до вимог Кодексу комерційного обліку електричної енергії, затвердженого постановою НКРЕКП від 14 березня 2018 року № 311  в рамках виконання зобовязань АТ «Укрзалізниця» передбачених «Планом заходів по забезпеченню достатності обліку в точках комерційного обліку АТ «Укрзалізниця» на перетині з ПАТ "Запоріжжяобленерго".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</si>
  <si>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По ВРП-150 кВ передбачено.
Заміна розєднувачів, розрядників РВС, заміна ОД/КЗ та МВ на ЕВ з пристроями РЗА.
(все обладнання 1970 року введення в експлуатацію).
Улаштування комерційного обліку в колі ЛЕП 150 кВ.</t>
  </si>
  <si>
    <t>ПС 150/35/10 кВ Сокологірне (ВРП-150 кВ)</t>
  </si>
  <si>
    <t>ПС введена в роботу у 1971 році
Забезпечення достатньої пропускної спроможності електричних мереж 150 кВ системи розподілу для потреб Користувачів Дніпровської ЕС.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шляхом заміни ОД/КЗ. Забезпечення готовності електричних мереж відповідати вимогам критерію "N-1".  Впровадження «інтелектуальних» лічильників (у точках, де ОСР є стороною, відповідальною за комерційний облік електричної енергії) та автоматизованих систем обліку відповідно до вимог Кодексу комерційного обліку електричної енергії, затвердженого постановою НКРЕКП від 14 березня 2018 року № 311  в рамках виконання зобовязань АТ «Укрзалізниця» передбачених «Планом заходів по забезпеченню достатності обліку в точках комерційного обліку АТ «Укрзалізниця» на перетині з ПАТ "Запоріжжяобленерго".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</si>
  <si>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По ВРП-150 кВ передбачено.
Заміна розєднувачів, розрядників РВС, заміна ОД/КЗ та МВ на ЕВ з пристроями РЗА.
(все обладнання 1971 року введення в експлуатацію).
Улаштування комерційного обліку в колі ЛЕП 150 кВ.</t>
  </si>
  <si>
    <t>ПС 150/35/10 кВ Партизани</t>
  </si>
  <si>
    <t>ПС введена в роботу у 1970 році. Забезпечення достатньої пропускної спроможності системи розподілу для потреб Користувачів Дніпровської та Південної ЕС.Виконання заходів Акту технологічного порушення від 04.06.18 р. Зменшення шкідливого впливу на навколишнє природне середовище шляхом заміни маслонаповненого устаткування. Підтримання устаткування у стані експлуатаційної працездатності і забезпечення готовності електричних мереж відповідати вимогам критерію "N-1".Технічний стан основного силового устаткування.</t>
  </si>
  <si>
    <t>По ВРП-150 кВ передбачено.
Заміна розєднувачів, трансформаторів напруги, розрядників РВС, заміна МВ на ЕВ з пристроями РЗА.
(все обладнання 1970 року введення в експлуатацію).</t>
  </si>
  <si>
    <t>ПС 150/35/10 кВ Партизани (АБ)</t>
  </si>
  <si>
    <t>3кв 2020</t>
  </si>
  <si>
    <t>ПС введена в роботу у 1959 році.   Зменшення шкідливого впливу на навколишнє природне середовище шляхом заміни кіслотних АБ на не обслуговуємі гелеві АБ.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</si>
  <si>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Заміна існуючої акумуляторної батареї типу СК-20 з підзарядним пристроем типу ВУ-110/24 (1970 року введення в експлуатацію)</t>
  </si>
  <si>
    <t>ПС 110/35/10 кВ Самійлівка (ВРП-110 кВ)</t>
  </si>
  <si>
    <t>Тягова підстанція Самійлівка введена в роботу у 1965 році.Забезпечення достатньої пропускної спроможності системи розподілу для потреб Користувачів  Північної ЕС. Зменшення шкідливого впливу на навколишнє природне середовище шляхом заміни маслонаповненого устаткування. Підтримання устаткування у стані експлуатаційної працездатності і забезпечення готовності електричних мереж відповідати вимогам критерію "N-1".Технічний стан основного силового устаткування.</t>
  </si>
  <si>
    <t>По ВРП-110 кВ передбачено.
Заміна розєднувачів, розрядників РВС, заміна ОД/КЗ на ЕВ та пристроїв РЗА.                                                 (все обладнання 1965 року введення в експлуатацію).</t>
  </si>
  <si>
    <t>ПС 150/35/10 кВ Синельникове</t>
  </si>
  <si>
    <t>ПС введена в роботу у 1959 році. Забезпечення достатньої пропускної спроможності електричних смереж 150 кВ системи розподілу для потреб Користувачів в Дніпровському регіоні. Зменшення шкідливого впливу на навколишнє природне середовище шляхом заміни маслонаповненого устаткування.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Забезпечення готовності електричних мереж відповідати вимогам критерію "N-1". Впровадження «інтелектуальних» лічильників (у точках, де ОСР є стороною, відповідальною за комерційний облік електричної енергії) та автоматизованих систем обліку відповідно до вимог Кодексу комерційного обліку електричної енергії, затвердженого постановою НКРЕКП від 14 березня 2018 року № 311  в рамках виконання зобовязань АТ «Укрзалізниця» передбачених «Планом заходів по забезпеченню достатності обліку в точках комерційного обліку АТ «Укрзалізниця» на перетині з АТ "ДТЕК Дніпровські електромережи».</t>
  </si>
  <si>
    <t>По ВРП-150 кВ передбачено.Заміна вимірювальних трансформаторів струму, розєднувачів, розрядників РВС, заміна МВ-Л36, на ЕВ та пристроїв РЗА(все обладнання 1959 року введення в експлуатацію).Встановлення двох комплектів трансформаторів напруги, двох  ЕВ з пристроями РЗА та розєднувачами, улаштування комерційного обліку в колах ЛЕП 150 кВЛ-35А, Л-36А.Заміна існуючих аналогових пристроїв телемеханіки типу «Лісна» 1970 року.</t>
  </si>
  <si>
    <t xml:space="preserve">ПС 150/35/6 кВ Батуринська </t>
  </si>
  <si>
    <t>ПС введена в роботу у 1954 роціприведення на тяговій підстанції Батуринська комерційного обліку електричної енергії у відповідність до вимог Кодексу комерційного обліку та в рамках виконання зобовязань АТ «Укрзалізниця» передбачених «Планом заходів по забезпеченню достатності обліку в точках комерційного обліку АТ «Укрзалізниця» на перетині з АТ "ДТЕК Дніпровські електромережи»</t>
  </si>
  <si>
    <t>Улаштування точок комерційного обліку електричної енергії для визначення обсягів надходження та відпуску електричної енергії по приєднанням ПЛ-150 кВ Л-55, Л-56. Встановлення вимірювальних трансформаторів струму та напруги, лічильники</t>
  </si>
  <si>
    <t>ПС 35/6 кВ  Нижньодніпровськ– Вузол (Заміна головного трансформатора)</t>
  </si>
  <si>
    <t>2,6,8</t>
  </si>
  <si>
    <t>ПС введена в роботу у 1958 році
Забезпечення достатньої пропускної спроможності електричних мереж 35 кВ системи розподілу для потреб Користувачів в Дніпровському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</si>
  <si>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Заміна головного трансформатора (морально застаріле обладнання) та з метою приєднання споживачів на виконання технічних умов №ПР/0203-2</t>
  </si>
  <si>
    <t>ПС 35/6 кВ Нижньодніпровськ – Вузол (ВРП-35 кВ)</t>
  </si>
  <si>
    <t>2 кв 2021</t>
  </si>
  <si>
    <t>4кв 2021</t>
  </si>
  <si>
    <t>ПС введена в роботу у 1958 році
.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</si>
  <si>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По ВРУ-35 та 6 кВ.
Заміна масляних вимикачів у комплекті з РЗА та ПА, ТН,ТС 
(все обладнання ВРУ-35 кВ - 1958 року введення в експлуатацію, обладнання ЗРУ-6 кВ 1968 року введення в експлуатацію).
Заміна розєднувачів ВРУ-35 кВ.
(розєднувачі ВРУ-35 кВ - 1949 року введення в експлуатацію</t>
  </si>
  <si>
    <t>ПС 35/6 кВ Підстепна (ВРП-35/10 кВ)</t>
  </si>
  <si>
    <t>2,6,9</t>
  </si>
  <si>
    <t>ПС введена в роботу у 1949 році
.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</si>
  <si>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По ВРУ-35,6 кВ
Заміна масляних вимикачів у комплекті з РЗА та ПА, заміна розєднувачів,
(все обладнання ВРУ-35,6 кВ - 1949 року введення в експлуатацію)</t>
  </si>
  <si>
    <t>ПС 35/10 кВ Божедарівка (АБ)</t>
  </si>
  <si>
    <t>3кв 2021</t>
  </si>
  <si>
    <t xml:space="preserve">3 кв. 2022 </t>
  </si>
  <si>
    <t>ПС введена в роботу у 1960 році
Зменшення шкідливого впливу на навколишнє природне середовище шляхом заміни кіслотних АБ на не обслуговуємі гелеві АБ.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</si>
  <si>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Заміна існуючої акумуляторної батареї типу СК-6 з підзарядним пристроем типу ВУ-2М (1961 року введення в експлуатацію)</t>
  </si>
  <si>
    <t>ПС 35/6 кВ Кривий Ріг –Головний (ВРП-35 кВ)</t>
  </si>
  <si>
    <t>ПС введена в роботу у 1960 році
Забезпечення достатньої пропускної спроможності електричних мереж 35 кВ системи розподілу для потреб Користувачів в Дніпровському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</si>
  <si>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По ВРУ-35  кВ.
Заміна масляних вимикачів ВРУ-35 кВ у комплекті з РЗА та ПА, заміна розєднувачів, заміна РВС на ОПН.
(все обладнання ВРУ-35 кВ - 1960 року введення в експлуатацію).
</t>
  </si>
  <si>
    <t>ПС 35/10 кВ Варварівка (ВРП-35/10 кВ)</t>
  </si>
  <si>
    <t>ПС введена в роботу у 1965 році
Забезпечення достатньої пропускної спроможності електричних мереж 35 кВ системи розподілу для потреб Користувачів в Дніпровському регіоні. Підтримання устаткування у стані експлуатаційної працездатності. Приведення технічного стану основного силового устаткування до норм безпеки і показників надійності електропостачання та зменшення шкідливого впливу на навколишнє природне середовище шляхом заміни маслонаповненого утаткування.  Забезпечення норм безпеки і показників надійності електропостачання шляхом розвитку дистанційно керованих систем розподілу, удосконалення системи моніторингу шляхом їх реконфігурації та автоматизації (зокрема апаратними засобами).</t>
  </si>
  <si>
    <t xml:space="preserve">По ВРУ-35  кВ.
Заміна масляних вимикачів ВРУ-35 кВ у комплекті з РЗА та ПА, заміна трансформаторів напруги 35 кВ, заміна РВС на ОПН, металоконструкцій
(все обладнання ВРУ-35 кВ - 1965 року введення в експлуатацію)  По ВРУ-10 кВ:                                                                                                                                        Заміна МВ-10 кВ на вакуумні, заміна розєднувачів  10 кВ.
</t>
  </si>
  <si>
    <t>ПС 35/10 кВ Іларіонове (АБ)</t>
  </si>
  <si>
    <t>3 кв. 2022</t>
  </si>
  <si>
    <t>ПС введена в роботу у 1959 році
Зменшення шкідливого впливу на навколишнє природне середовище шляхом заміни кіслотних АБ на не обслуговуємі гелеві АБ.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</si>
  <si>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Заміна існуючої акумуляторної батареї типу СК-6 з підзарядним пристроем типу ВУ-2М (1968 року введення в експлуатацію)</t>
  </si>
  <si>
    <t>ПС 35/6 кВ Кривий Ріг головний (АБ)</t>
  </si>
  <si>
    <t>ПС введена в роботу у 1962 році
Зменшення шкідливого впливу на навколишнє природне середовище шляхом заміни кіслотних АБ на не обслуговуємі гелеві АБ.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</si>
  <si>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Заміна існуючої акумуляторної батареї типу СК-6 з підзарядним пристроем типу ВУ-2М (1983 року введення в експлуатацію)</t>
  </si>
  <si>
    <t>ПС 35/10 кВ Грекувата (АБ)</t>
  </si>
  <si>
    <t>Заміна існуючої акумуляторної батареї типу СК-6 з підзарядним пристроем типу ВУ2М (1982 року введення в експлуатацію)</t>
  </si>
  <si>
    <t>ПС 35/10 кВ Богуславський (АБ)</t>
  </si>
  <si>
    <t>3 кв 2020</t>
  </si>
  <si>
    <t>ПС введена в роботу у 1964 році
Зменшення шкідливого впливу на навколишнє природне середовище шляхом заміни кіслотних АБ на не обслуговуємі гелеві АБ.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</si>
  <si>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Заміна існуючої акумуляторної батареї типу СК-6 з підзарядним пристроем типу ВУ2М (1964 року введення в експлуатацію)</t>
  </si>
  <si>
    <t>2.2.11.</t>
  </si>
  <si>
    <t>ПС 35/10 кВ Вільнянськ</t>
  </si>
  <si>
    <t>По ВРУ-35  кВ.
Заміна масляних вимикачів ВРУ-35 кВ у комплекті з РЗА та ПА, заміна розєднувачів, заміна РВС на ОПН.
(все обладнання ВРУ-35 кВ - 1965 року введення в експлуатацію).</t>
  </si>
  <si>
    <t>2.2.12.</t>
  </si>
  <si>
    <t>ПС 35/10 кВ Запоріжжя-1 (АБ)</t>
  </si>
  <si>
    <t>ПС введена в роботу у 1966 році
Зменшення шкідливого впливу на навколишнє природне середовище шляхом заміни кіслотних АБ на не обслуговуємі гелеві АБ. Підтримання устаткування у стані експлуатаційної працездатності. Забезпечення норм безпеки обслуговуючого персоналу і показників надійності електропостачання  систем розподілу (зокрема апаратними засобами).</t>
  </si>
  <si>
    <t>Заміна існуючої акумуляторної батареї типу СК-6 з підзарядним пристроем типу ВУ2М (1966 року введення в експлуатацію)</t>
  </si>
  <si>
    <t>Найменування області</t>
  </si>
  <si>
    <t>НЕ передбачено</t>
  </si>
  <si>
    <t>2.3.2.</t>
  </si>
  <si>
    <t>2.4.2.</t>
  </si>
  <si>
    <t>3.1.</t>
  </si>
  <si>
    <t>3.1.1.</t>
  </si>
  <si>
    <t>3.1.2.</t>
  </si>
  <si>
    <t>3.2.</t>
  </si>
  <si>
    <t>3.2.1.</t>
  </si>
  <si>
    <t>3.2.2.</t>
  </si>
  <si>
    <t xml:space="preserve">Філія "Енергозбут" </t>
  </si>
  <si>
    <t>№ сторінки пояснювальної записки</t>
  </si>
  <si>
    <t>* Довжина ліній електропередачі вказується по трасі ліній.</t>
  </si>
  <si>
    <t>**  Зазначити відповідний рік.</t>
  </si>
  <si>
    <t xml:space="preserve">Директор Департаменту електрифікації </t>
  </si>
  <si>
    <t>та електропостачання</t>
  </si>
  <si>
    <t>_____________________</t>
  </si>
  <si>
    <t>Заступник директора Департаменту</t>
  </si>
  <si>
    <t>електрифікації та електропостачання</t>
  </si>
  <si>
    <t>________________________</t>
  </si>
  <si>
    <t>М. П. (за наявності)</t>
  </si>
  <si>
    <t>"____" ____________ 20___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</si>
</sst>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5" formatCode="000000"/>
    <numFmt numFmtId="166" formatCode="#,##0.0"/>
  </numFmts>
  <fonts count="48">
    <font>
      <sz val="11"/>
      <color theme="1"/>
      <name val="Calibri"/>
      <family val="2"/>
      <scheme val="minor"/>
    </font>
    <font>
      <sz val="11"/>
      <color theme="1"/>
      <name val="Calibri"/>
      <family val="2"/>
      <charset val="204"/>
      <scheme val="minor"/>
    </font>
    <font>
      <b/>
      <sz val="16"/>
      <name val="Times New Roman"/>
      <family val="1"/>
      <charset val="204"/>
    </font>
    <font>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b/>
      <sz val="14"/>
      <name val="Times New Roman"/>
      <family val="1"/>
      <charset val="204"/>
    </font>
    <font>
      <b/>
      <sz val="14"/>
      <color rgb="FFFF0000"/>
      <name val="Times New Roman"/>
      <family val="1"/>
      <charset val="204"/>
    </font>
    <font>
      <sz val="14"/>
      <name val="Times New Roman"/>
      <family val="1"/>
      <charset val="204"/>
    </font>
    <font>
      <sz val="12"/>
      <color rgb="FFFF0000"/>
      <name val="Times New Roman"/>
      <family val="1"/>
      <charset val="204"/>
    </font>
    <font>
      <b/>
      <sz val="14"/>
      <color rgb="FF0070C0"/>
      <name val="Times New Roman"/>
      <family val="1"/>
      <charset val="204"/>
    </font>
    <font>
      <b/>
      <sz val="12"/>
      <color rgb="FF0070C0"/>
      <name val="Times New Roman"/>
      <family val="1"/>
      <charset val="204"/>
    </font>
    <font>
      <sz val="14"/>
      <color rgb="FF0070C0"/>
      <name val="Times New Roman"/>
      <family val="1"/>
      <charset val="204"/>
    </font>
    <font>
      <sz val="11"/>
      <color theme="1"/>
      <name val="Times New Roman"/>
      <family val="1"/>
      <charset val="204"/>
    </font>
    <font>
      <sz val="10"/>
      <name val="Arial Cyr"/>
      <charset val="204"/>
    </font>
    <font>
      <sz val="10"/>
      <color theme="1"/>
      <name val="Times New Roman"/>
      <family val="1"/>
      <charset val="204"/>
    </font>
    <font>
      <b/>
      <sz val="10"/>
      <name val="Times New Roman"/>
      <family val="1"/>
      <charset val="204"/>
    </font>
    <font>
      <sz val="10"/>
      <name val="Times New Roman"/>
      <family val="1"/>
      <charset val="204"/>
    </font>
    <font>
      <b/>
      <sz val="14"/>
      <color theme="3"/>
      <name val="Times New Roman"/>
      <family val="1"/>
      <charset val="204"/>
    </font>
    <font>
      <b/>
      <sz val="10"/>
      <color theme="1"/>
      <name val="Times New Roman"/>
      <family val="1"/>
      <charset val="204"/>
    </font>
    <font>
      <sz val="12"/>
      <color theme="1"/>
      <name val="Times New Roman"/>
      <family val="1"/>
      <charset val="204"/>
    </font>
    <font>
      <b/>
      <sz val="11"/>
      <color theme="3"/>
      <name val="Times New Roman"/>
      <family val="1"/>
      <charset val="204"/>
    </font>
    <font>
      <sz val="11"/>
      <name val="Calibri"/>
      <family val="2"/>
      <charset val="204"/>
      <scheme val="minor"/>
    </font>
    <font>
      <sz val="10"/>
      <color rgb="FFFF0000"/>
      <name val="Times New Roman"/>
      <family val="1"/>
      <charset val="204"/>
    </font>
    <font>
      <b/>
      <sz val="11"/>
      <name val="Calibri"/>
      <family val="2"/>
      <charset val="204"/>
      <scheme val="minor"/>
    </font>
    <font>
      <i/>
      <sz val="10"/>
      <color rgb="FFFF0000"/>
      <name val="Times New Roman"/>
      <family val="1"/>
      <charset val="204"/>
    </font>
    <font>
      <b/>
      <sz val="12"/>
      <color rgb="FFFF0000"/>
      <name val="Times New Roman"/>
      <family val="1"/>
      <charset val="204"/>
    </font>
    <font>
      <b/>
      <i/>
      <sz val="12"/>
      <name val="Times New Roman"/>
      <family val="1"/>
      <charset val="204"/>
    </font>
    <font>
      <b/>
      <i/>
      <sz val="14"/>
      <name val="Times New Roman"/>
      <family val="1"/>
      <charset val="204"/>
    </font>
    <font>
      <b/>
      <sz val="14"/>
      <color theme="4"/>
      <name val="Times New Roman"/>
      <family val="1"/>
      <charset val="204"/>
    </font>
    <font>
      <sz val="11"/>
      <color indexed="8"/>
      <name val="Times New Roman"/>
      <family val="1"/>
      <charset val="204"/>
    </font>
    <font>
      <b/>
      <sz val="12"/>
      <color theme="1"/>
      <name val="Times New Roman"/>
      <family val="1"/>
      <charset val="204"/>
    </font>
    <font>
      <sz val="12"/>
      <color indexed="8"/>
      <name val="Times New Roman"/>
      <family val="1"/>
      <charset val="204"/>
    </font>
    <font>
      <sz val="14"/>
      <color theme="4"/>
      <name val="Times New Roman"/>
      <family val="1"/>
      <charset val="204"/>
    </font>
    <font>
      <sz val="11"/>
      <color theme="4"/>
      <name val="Times New Roman"/>
      <family val="1"/>
      <charset val="204"/>
    </font>
    <font>
      <b/>
      <sz val="11"/>
      <color theme="1"/>
      <name val="Times New Roman"/>
      <family val="1"/>
      <charset val="204"/>
    </font>
    <font>
      <sz val="12"/>
      <name val="Calibri"/>
      <family val="2"/>
      <charset val="204"/>
      <scheme val="minor"/>
    </font>
    <font>
      <sz val="14"/>
      <name val="Calibri"/>
      <family val="2"/>
      <charset val="204"/>
      <scheme val="minor"/>
    </font>
    <font>
      <b/>
      <sz val="13"/>
      <color rgb="FF0070C0"/>
      <name val="Times New Roman"/>
      <family val="1"/>
      <charset val="204"/>
    </font>
    <font>
      <sz val="11"/>
      <color theme="1"/>
      <name val="Calibri"/>
      <family val="2"/>
      <charset val="1"/>
      <scheme val="minor"/>
    </font>
    <font>
      <b/>
      <sz val="14"/>
      <color theme="1"/>
      <name val="Times New Roman"/>
      <family val="1"/>
      <charset val="204"/>
    </font>
    <font>
      <sz val="14"/>
      <color theme="1"/>
      <name val="Times New Roman"/>
      <family val="1"/>
      <charset val="204"/>
    </font>
    <font>
      <sz val="10"/>
      <color theme="1"/>
      <name val="Arial Cyr"/>
      <charset val="204"/>
    </font>
    <font>
      <b/>
      <sz val="10"/>
      <color rgb="FFFF0000"/>
      <name val="Times New Roman"/>
      <family val="1"/>
      <charset val="204"/>
    </font>
    <font>
      <sz val="10"/>
      <name val="Arial CE"/>
      <charset val="204"/>
    </font>
    <font>
      <b/>
      <sz val="9"/>
      <color indexed="81"/>
      <name val="Tahoma"/>
      <family val="2"/>
      <charset val="204"/>
    </font>
    <font>
      <sz val="9"/>
      <color indexed="81"/>
      <name val="Tahoma"/>
      <family val="2"/>
      <charset val="204"/>
    </font>
  </fonts>
  <fills count="4">
    <fill>
      <patternFill patternType="none"/>
    </fill>
    <fill>
      <patternFill patternType="gray125"/>
    </fill>
    <fill>
      <patternFill patternType="solid">
        <fgColor theme="0"/>
        <bgColor indexed="64"/>
      </patternFill>
    </fill>
    <fill>
      <patternFill patternType="solid">
        <fgColor rgb="FFB0E9EA"/>
        <bgColor indexed="64"/>
      </patternFill>
    </fill>
  </fills>
  <borders count="42">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rgb="FF000000"/>
      </right>
      <top style="medium">
        <color indexed="64"/>
      </top>
      <bottom style="medium">
        <color indexed="64"/>
      </bottom>
      <diagonal/>
    </border>
    <border>
      <left/>
      <right style="medium">
        <color indexed="64"/>
      </right>
      <top style="medium">
        <color indexed="64"/>
      </top>
      <bottom/>
      <diagonal/>
    </border>
    <border>
      <left style="medium">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s>
  <cellStyleXfs count="5">
    <xf numFmtId="0" fontId="0" fillId="0" borderId="0"/>
    <xf numFmtId="0" fontId="15" fillId="0" borderId="0"/>
    <xf numFmtId="0" fontId="40" fillId="0" borderId="0"/>
    <xf numFmtId="0" fontId="15" fillId="0" borderId="0"/>
    <xf numFmtId="0" fontId="45" fillId="0" borderId="0"/>
  </cellStyleXfs>
  <cellXfs count="533">
    <xf numFmtId="0" fontId="0" fillId="0" borderId="0" xfId="0"/>
    <xf numFmtId="0" fontId="2" fillId="2" borderId="0" xfId="0" applyFont="1" applyFill="1" applyBorder="1" applyAlignment="1">
      <alignment horizontal="center" vertical="center"/>
    </xf>
    <xf numFmtId="0" fontId="3" fillId="2" borderId="0" xfId="0" applyFont="1" applyFill="1"/>
    <xf numFmtId="0" fontId="2" fillId="2" borderId="1" xfId="0" applyFont="1" applyFill="1" applyBorder="1" applyAlignment="1">
      <alignment horizontal="center" vertical="center"/>
    </xf>
    <xf numFmtId="49" fontId="4" fillId="2" borderId="2"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4" fillId="2" borderId="8" xfId="0" applyFont="1" applyFill="1" applyBorder="1" applyAlignment="1">
      <alignment horizontal="center" vertical="center" wrapText="1"/>
    </xf>
    <xf numFmtId="3" fontId="4" fillId="2" borderId="9" xfId="0" applyNumberFormat="1" applyFont="1" applyFill="1" applyBorder="1" applyAlignment="1">
      <alignment horizontal="center" vertical="center" wrapText="1"/>
    </xf>
    <xf numFmtId="0" fontId="5" fillId="2" borderId="0" xfId="0" applyFont="1" applyFill="1" applyAlignment="1">
      <alignment vertical="center"/>
    </xf>
    <xf numFmtId="0" fontId="6" fillId="2" borderId="0" xfId="0" applyFont="1" applyFill="1" applyAlignment="1">
      <alignment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left" vertical="center" wrapText="1"/>
    </xf>
    <xf numFmtId="0" fontId="3" fillId="2" borderId="9" xfId="0"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0" fontId="3" fillId="2" borderId="12" xfId="0" applyFont="1" applyFill="1" applyBorder="1" applyAlignment="1">
      <alignment horizontal="center" vertical="center" wrapText="1"/>
    </xf>
    <xf numFmtId="0" fontId="7" fillId="2" borderId="13" xfId="0" applyFont="1" applyFill="1" applyBorder="1" applyAlignment="1">
      <alignment horizontal="left" vertical="center" wrapText="1"/>
    </xf>
    <xf numFmtId="0" fontId="7" fillId="2" borderId="13" xfId="0" applyFont="1" applyFill="1" applyBorder="1" applyAlignment="1">
      <alignment horizontal="center" vertical="center" wrapText="1"/>
    </xf>
    <xf numFmtId="3" fontId="7" fillId="2" borderId="13" xfId="0" applyNumberFormat="1" applyFont="1" applyFill="1" applyBorder="1" applyAlignment="1">
      <alignment horizontal="center" vertical="center" wrapText="1"/>
    </xf>
    <xf numFmtId="3" fontId="3" fillId="2" borderId="13" xfId="0" applyNumberFormat="1" applyFont="1" applyFill="1" applyBorder="1" applyAlignment="1">
      <alignment horizontal="center" vertical="center" wrapText="1"/>
    </xf>
    <xf numFmtId="3" fontId="8" fillId="2" borderId="13" xfId="0" applyNumberFormat="1" applyFont="1" applyFill="1" applyBorder="1" applyAlignment="1">
      <alignment horizontal="center" vertical="center" wrapText="1"/>
    </xf>
    <xf numFmtId="0" fontId="8" fillId="2" borderId="13"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3" xfId="0" applyFont="1" applyFill="1" applyBorder="1" applyAlignment="1">
      <alignment horizontal="left" vertical="center" wrapText="1"/>
    </xf>
    <xf numFmtId="3" fontId="7" fillId="2" borderId="0" xfId="0" applyNumberFormat="1" applyFont="1" applyFill="1" applyBorder="1" applyAlignment="1">
      <alignment horizontal="center" vertical="center" wrapText="1"/>
    </xf>
    <xf numFmtId="0" fontId="7" fillId="3" borderId="14" xfId="0" applyFont="1" applyFill="1" applyBorder="1" applyAlignment="1">
      <alignment horizontal="left" vertical="center"/>
    </xf>
    <xf numFmtId="0" fontId="7" fillId="3" borderId="15" xfId="0" applyFont="1" applyFill="1" applyBorder="1" applyAlignment="1">
      <alignment horizontal="left" vertical="center"/>
    </xf>
    <xf numFmtId="0" fontId="9" fillId="2" borderId="0" xfId="0" applyFont="1" applyFill="1" applyAlignment="1">
      <alignment vertical="center"/>
    </xf>
    <xf numFmtId="49" fontId="4" fillId="2" borderId="9" xfId="0" applyNumberFormat="1"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4" fillId="2" borderId="9" xfId="0" applyFont="1" applyFill="1" applyBorder="1" applyAlignment="1">
      <alignment horizontal="center" vertical="center"/>
    </xf>
    <xf numFmtId="3" fontId="4" fillId="2" borderId="9" xfId="0" applyNumberFormat="1" applyFont="1" applyFill="1" applyBorder="1" applyAlignment="1">
      <alignment horizontal="center" vertical="center"/>
    </xf>
    <xf numFmtId="0" fontId="3" fillId="2" borderId="9" xfId="0" applyFont="1" applyFill="1" applyBorder="1" applyAlignment="1">
      <alignment horizontal="center" vertical="center"/>
    </xf>
    <xf numFmtId="3" fontId="3" fillId="2" borderId="9" xfId="0" applyNumberFormat="1" applyFont="1" applyFill="1" applyBorder="1" applyAlignment="1">
      <alignment horizontal="center" vertical="center"/>
    </xf>
    <xf numFmtId="0" fontId="3" fillId="2" borderId="9" xfId="0" applyNumberFormat="1" applyFont="1" applyFill="1" applyBorder="1" applyAlignment="1">
      <alignment horizontal="center" vertical="center" wrapText="1"/>
    </xf>
    <xf numFmtId="0" fontId="3" fillId="2" borderId="9" xfId="0" applyFont="1" applyFill="1" applyBorder="1" applyAlignment="1">
      <alignment horizontal="justify" vertical="center" wrapText="1"/>
    </xf>
    <xf numFmtId="0" fontId="3" fillId="2" borderId="9" xfId="0" applyFont="1" applyFill="1" applyBorder="1" applyAlignment="1">
      <alignment horizontal="center" vertical="center"/>
    </xf>
    <xf numFmtId="0" fontId="3" fillId="2" borderId="9" xfId="0" applyNumberFormat="1" applyFont="1" applyFill="1" applyBorder="1" applyAlignment="1">
      <alignment horizontal="center" vertical="center" wrapText="1"/>
    </xf>
    <xf numFmtId="0" fontId="3" fillId="2" borderId="19" xfId="0" applyNumberFormat="1" applyFont="1" applyFill="1" applyBorder="1" applyAlignment="1">
      <alignment horizontal="center" vertical="center" wrapText="1"/>
    </xf>
    <xf numFmtId="0" fontId="3" fillId="2" borderId="19" xfId="0" applyFont="1" applyFill="1" applyBorder="1" applyAlignment="1">
      <alignment horizontal="center" vertical="center"/>
    </xf>
    <xf numFmtId="0" fontId="3" fillId="2" borderId="11" xfId="0" applyNumberFormat="1" applyFont="1" applyFill="1" applyBorder="1" applyAlignment="1">
      <alignment horizontal="center" vertical="center" wrapText="1"/>
    </xf>
    <xf numFmtId="0" fontId="3" fillId="0" borderId="9" xfId="0" applyFont="1" applyFill="1" applyBorder="1" applyAlignment="1">
      <alignment horizontal="justify" vertical="center" wrapText="1"/>
    </xf>
    <xf numFmtId="0" fontId="3" fillId="2" borderId="11" xfId="0" applyFont="1" applyFill="1" applyBorder="1" applyAlignment="1">
      <alignment horizontal="center" vertical="center"/>
    </xf>
    <xf numFmtId="0" fontId="10" fillId="2" borderId="0" xfId="0" applyFont="1" applyFill="1"/>
    <xf numFmtId="3" fontId="3" fillId="0" borderId="9" xfId="0" applyNumberFormat="1" applyFont="1" applyFill="1" applyBorder="1" applyAlignment="1">
      <alignment horizontal="center" vertical="center" wrapText="1"/>
    </xf>
    <xf numFmtId="0" fontId="3" fillId="2" borderId="19" xfId="0" applyNumberFormat="1" applyFont="1" applyFill="1" applyBorder="1" applyAlignment="1">
      <alignment horizontal="center" vertical="center" wrapText="1"/>
    </xf>
    <xf numFmtId="0" fontId="3" fillId="2" borderId="9" xfId="0" applyFont="1" applyFill="1" applyBorder="1" applyAlignment="1">
      <alignment vertical="center" wrapText="1"/>
    </xf>
    <xf numFmtId="0" fontId="4" fillId="2" borderId="9" xfId="0" applyNumberFormat="1" applyFont="1" applyFill="1" applyBorder="1" applyAlignment="1">
      <alignment horizontal="center" vertical="center" wrapText="1"/>
    </xf>
    <xf numFmtId="0" fontId="4" fillId="2" borderId="0" xfId="0" applyFont="1" applyFill="1"/>
    <xf numFmtId="0" fontId="4" fillId="2" borderId="11" xfId="0" applyNumberFormat="1" applyFont="1" applyFill="1" applyBorder="1" applyAlignment="1">
      <alignment horizontal="center" vertical="center" wrapText="1"/>
    </xf>
    <xf numFmtId="0" fontId="4" fillId="2" borderId="11" xfId="0" applyFont="1" applyFill="1" applyBorder="1" applyAlignment="1">
      <alignment horizontal="left" vertical="center" wrapText="1"/>
    </xf>
    <xf numFmtId="0" fontId="4" fillId="2" borderId="11" xfId="0" applyFont="1" applyFill="1" applyBorder="1" applyAlignment="1">
      <alignment horizontal="center" vertical="center"/>
    </xf>
    <xf numFmtId="3" fontId="4" fillId="2" borderId="11" xfId="0" applyNumberFormat="1" applyFont="1" applyFill="1" applyBorder="1" applyAlignment="1">
      <alignment horizontal="center" vertical="center" wrapText="1"/>
    </xf>
    <xf numFmtId="3" fontId="4" fillId="2" borderId="11" xfId="0" applyNumberFormat="1"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11" xfId="0" applyFont="1" applyFill="1" applyBorder="1" applyAlignment="1">
      <alignment horizontal="left" vertical="center" wrapText="1"/>
    </xf>
    <xf numFmtId="1" fontId="3" fillId="2" borderId="9" xfId="0" applyNumberFormat="1" applyFont="1" applyFill="1" applyBorder="1" applyAlignment="1">
      <alignment horizontal="center" vertical="center"/>
    </xf>
    <xf numFmtId="0" fontId="4" fillId="2" borderId="9" xfId="0" applyFont="1" applyFill="1" applyBorder="1" applyAlignment="1">
      <alignment vertical="center" wrapText="1"/>
    </xf>
    <xf numFmtId="0" fontId="3" fillId="2" borderId="19"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11" fillId="2" borderId="9" xfId="0" applyNumberFormat="1" applyFont="1" applyFill="1" applyBorder="1" applyAlignment="1">
      <alignment horizontal="center" vertical="center" wrapText="1"/>
    </xf>
    <xf numFmtId="0" fontId="11" fillId="2" borderId="9" xfId="0" applyFont="1" applyFill="1" applyBorder="1" applyAlignment="1">
      <alignment horizontal="left" vertical="center" wrapText="1"/>
    </xf>
    <xf numFmtId="0" fontId="11" fillId="2" borderId="9" xfId="0" applyFont="1" applyFill="1" applyBorder="1" applyAlignment="1">
      <alignment horizontal="center" vertical="center"/>
    </xf>
    <xf numFmtId="3" fontId="12" fillId="2" borderId="9" xfId="0" applyNumberFormat="1" applyFont="1" applyFill="1" applyBorder="1" applyAlignment="1">
      <alignment horizontal="center" vertical="center" wrapText="1"/>
    </xf>
    <xf numFmtId="3" fontId="11" fillId="2" borderId="9" xfId="0" applyNumberFormat="1" applyFont="1" applyFill="1" applyBorder="1" applyAlignment="1">
      <alignment horizontal="center" vertical="center"/>
    </xf>
    <xf numFmtId="0" fontId="13" fillId="2" borderId="9" xfId="0" applyFont="1" applyFill="1" applyBorder="1" applyAlignment="1">
      <alignment horizontal="center" vertical="center" wrapText="1"/>
    </xf>
    <xf numFmtId="0" fontId="13" fillId="2" borderId="9" xfId="0" applyFont="1" applyFill="1" applyBorder="1" applyAlignment="1">
      <alignment horizontal="left" vertical="center" wrapText="1"/>
    </xf>
    <xf numFmtId="0" fontId="13" fillId="2" borderId="0" xfId="0" applyFont="1" applyFill="1"/>
    <xf numFmtId="0" fontId="7" fillId="3" borderId="20" xfId="0" applyFont="1" applyFill="1" applyBorder="1" applyAlignment="1">
      <alignment horizontal="left" vertical="center"/>
    </xf>
    <xf numFmtId="0" fontId="7" fillId="3" borderId="21" xfId="0" applyFont="1" applyFill="1" applyBorder="1" applyAlignment="1">
      <alignment horizontal="left" vertical="center"/>
    </xf>
    <xf numFmtId="0" fontId="6" fillId="2" borderId="0" xfId="0" applyFont="1" applyFill="1"/>
    <xf numFmtId="49" fontId="7" fillId="2" borderId="22" xfId="0" applyNumberFormat="1"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2" borderId="29" xfId="0" applyFont="1" applyFill="1" applyBorder="1" applyAlignment="1">
      <alignment horizontal="left" vertical="center" wrapText="1"/>
    </xf>
    <xf numFmtId="49" fontId="7" fillId="2" borderId="30" xfId="0" applyNumberFormat="1"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3" xfId="0" applyFont="1" applyFill="1" applyBorder="1" applyAlignment="1">
      <alignment horizontal="center" vertical="center" wrapText="1"/>
    </xf>
    <xf numFmtId="49" fontId="7" fillId="2" borderId="34" xfId="0" applyNumberFormat="1"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7" xfId="0"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9" xfId="0" applyFont="1" applyFill="1" applyBorder="1"/>
    <xf numFmtId="0" fontId="4" fillId="2" borderId="29" xfId="0" applyFont="1" applyFill="1" applyBorder="1" applyAlignment="1">
      <alignment horizontal="center" vertical="center"/>
    </xf>
    <xf numFmtId="0" fontId="4" fillId="2" borderId="34" xfId="0" applyFont="1" applyFill="1" applyBorder="1" applyAlignment="1">
      <alignment horizontal="center" vertical="center" wrapText="1"/>
    </xf>
    <xf numFmtId="0" fontId="4" fillId="2" borderId="33" xfId="0" applyFont="1" applyFill="1" applyBorder="1" applyAlignment="1">
      <alignment horizontal="left" vertical="center"/>
    </xf>
    <xf numFmtId="0" fontId="4" fillId="2" borderId="33" xfId="0" applyFont="1" applyFill="1" applyBorder="1" applyAlignment="1">
      <alignment horizontal="center" vertical="center"/>
    </xf>
    <xf numFmtId="0" fontId="4" fillId="2" borderId="33" xfId="0" applyFont="1" applyFill="1" applyBorder="1" applyAlignment="1">
      <alignment horizontal="justify" vertical="center" wrapText="1"/>
    </xf>
    <xf numFmtId="0" fontId="4" fillId="2" borderId="33" xfId="0" applyFont="1" applyFill="1" applyBorder="1" applyAlignment="1">
      <alignment vertical="center"/>
    </xf>
    <xf numFmtId="0" fontId="4" fillId="2" borderId="31" xfId="0" applyFont="1" applyFill="1" applyBorder="1" applyAlignment="1">
      <alignment horizontal="center" vertical="center"/>
    </xf>
    <xf numFmtId="0" fontId="4" fillId="2" borderId="0" xfId="0" applyFont="1" applyFill="1" applyBorder="1" applyAlignment="1">
      <alignment horizontal="center" vertical="center"/>
    </xf>
    <xf numFmtId="3" fontId="4" fillId="2" borderId="29" xfId="0" applyNumberFormat="1"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2" xfId="0" applyFont="1" applyFill="1" applyBorder="1" applyAlignment="1">
      <alignment horizontal="left"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justify" vertical="center" wrapText="1"/>
    </xf>
    <xf numFmtId="0" fontId="5" fillId="2" borderId="31" xfId="0" applyFont="1" applyFill="1" applyBorder="1" applyAlignment="1">
      <alignment horizontal="center" vertical="center"/>
    </xf>
    <xf numFmtId="0" fontId="5" fillId="2" borderId="31" xfId="0" applyFont="1" applyFill="1" applyBorder="1" applyAlignment="1">
      <alignment vertical="center"/>
    </xf>
    <xf numFmtId="0" fontId="5" fillId="2" borderId="0" xfId="0" applyFont="1" applyFill="1" applyBorder="1" applyAlignment="1">
      <alignment horizontal="center" vertical="center"/>
    </xf>
    <xf numFmtId="0" fontId="5" fillId="2" borderId="19" xfId="0" applyFont="1" applyFill="1" applyBorder="1" applyAlignment="1">
      <alignment horizontal="center" vertical="center"/>
    </xf>
    <xf numFmtId="3" fontId="5" fillId="2" borderId="29" xfId="0" applyNumberFormat="1"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9" xfId="0" applyFont="1" applyFill="1" applyBorder="1" applyAlignment="1">
      <alignment horizontal="left"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justify" vertical="center" wrapText="1"/>
    </xf>
    <xf numFmtId="0" fontId="5" fillId="2" borderId="9" xfId="0" applyFont="1" applyFill="1" applyBorder="1" applyAlignment="1">
      <alignment horizontal="center" vertical="center"/>
    </xf>
    <xf numFmtId="0" fontId="5" fillId="2" borderId="9" xfId="0" applyFont="1" applyFill="1" applyBorder="1" applyAlignment="1">
      <alignment vertical="center"/>
    </xf>
    <xf numFmtId="0" fontId="5" fillId="2" borderId="9" xfId="0" applyNumberFormat="1" applyFont="1" applyFill="1" applyBorder="1" applyAlignment="1">
      <alignment horizontal="center" vertical="center"/>
    </xf>
    <xf numFmtId="0" fontId="6" fillId="2" borderId="9" xfId="0" applyFont="1" applyFill="1" applyBorder="1" applyAlignment="1">
      <alignment horizontal="center" vertical="center" wrapText="1"/>
    </xf>
    <xf numFmtId="0" fontId="6" fillId="2" borderId="9" xfId="0" applyFont="1" applyFill="1" applyBorder="1" applyAlignment="1">
      <alignment horizontal="left" vertical="center" wrapText="1"/>
    </xf>
    <xf numFmtId="0" fontId="14" fillId="2" borderId="9" xfId="0" applyFont="1" applyFill="1" applyBorder="1" applyAlignment="1">
      <alignment vertical="center" wrapText="1"/>
    </xf>
    <xf numFmtId="0" fontId="14" fillId="2" borderId="9" xfId="0" applyFont="1" applyFill="1" applyBorder="1" applyAlignment="1">
      <alignment horizontal="center" vertical="center"/>
    </xf>
    <xf numFmtId="3" fontId="6" fillId="2" borderId="9" xfId="0" applyNumberFormat="1" applyFont="1" applyFill="1" applyBorder="1" applyAlignment="1">
      <alignment horizontal="center" vertical="center"/>
    </xf>
    <xf numFmtId="0" fontId="6" fillId="2" borderId="9" xfId="0" applyFont="1" applyFill="1" applyBorder="1" applyAlignment="1">
      <alignment horizontal="center" vertical="center"/>
    </xf>
    <xf numFmtId="0" fontId="6" fillId="2" borderId="9" xfId="0" applyNumberFormat="1" applyFont="1" applyFill="1" applyBorder="1" applyAlignment="1">
      <alignment horizontal="center" vertical="center"/>
    </xf>
    <xf numFmtId="0" fontId="14" fillId="2" borderId="9" xfId="0" applyFont="1" applyFill="1" applyBorder="1" applyAlignment="1">
      <alignment horizontal="center" vertical="center" wrapText="1"/>
    </xf>
    <xf numFmtId="0" fontId="6" fillId="2" borderId="9" xfId="1" applyFont="1" applyFill="1" applyBorder="1" applyAlignment="1">
      <alignment horizontal="center" vertical="center"/>
    </xf>
    <xf numFmtId="0" fontId="6" fillId="2" borderId="9" xfId="1" applyFont="1" applyFill="1" applyBorder="1" applyAlignment="1">
      <alignment horizontal="left" vertical="center" wrapText="1"/>
    </xf>
    <xf numFmtId="0" fontId="16" fillId="2" borderId="9" xfId="0" applyFont="1" applyFill="1" applyBorder="1" applyAlignment="1">
      <alignment vertical="center" wrapText="1"/>
    </xf>
    <xf numFmtId="0" fontId="5" fillId="2" borderId="34" xfId="0" applyFont="1" applyFill="1" applyBorder="1" applyAlignment="1">
      <alignment horizontal="center" vertical="center" wrapText="1"/>
    </xf>
    <xf numFmtId="0" fontId="5" fillId="2" borderId="33" xfId="0" applyFont="1" applyFill="1" applyBorder="1" applyAlignment="1">
      <alignment horizontal="justify" vertical="center" wrapText="1"/>
    </xf>
    <xf numFmtId="0" fontId="5" fillId="2" borderId="33" xfId="0" applyFont="1" applyFill="1" applyBorder="1" applyAlignment="1">
      <alignment horizontal="center" vertical="center"/>
    </xf>
    <xf numFmtId="3" fontId="5" fillId="2" borderId="33" xfId="0" applyNumberFormat="1" applyFont="1" applyFill="1" applyBorder="1" applyAlignment="1">
      <alignment horizontal="center" vertical="center"/>
    </xf>
    <xf numFmtId="0" fontId="5" fillId="2" borderId="33" xfId="0" applyFont="1" applyFill="1" applyBorder="1" applyAlignment="1">
      <alignment vertical="center"/>
    </xf>
    <xf numFmtId="0" fontId="6" fillId="2" borderId="33"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3" fillId="2" borderId="34" xfId="0" applyFont="1" applyFill="1" applyBorder="1" applyAlignment="1">
      <alignment horizontal="left" vertical="center" wrapText="1"/>
    </xf>
    <xf numFmtId="0" fontId="3" fillId="2" borderId="34" xfId="0" applyFont="1" applyFill="1" applyBorder="1" applyAlignment="1">
      <alignment horizontal="center" vertical="center" wrapText="1"/>
    </xf>
    <xf numFmtId="0" fontId="17" fillId="2" borderId="34" xfId="0" applyFont="1" applyFill="1" applyBorder="1" applyAlignment="1">
      <alignment horizontal="center" vertical="center" wrapText="1"/>
    </xf>
    <xf numFmtId="0" fontId="17" fillId="2" borderId="33" xfId="0" applyFont="1" applyFill="1" applyBorder="1" applyAlignment="1">
      <alignment horizontal="justify" vertical="center" wrapText="1"/>
    </xf>
    <xf numFmtId="0" fontId="17" fillId="2" borderId="33" xfId="0" applyFont="1" applyFill="1" applyBorder="1" applyAlignment="1">
      <alignment horizontal="center" vertical="center"/>
    </xf>
    <xf numFmtId="3" fontId="17" fillId="2" borderId="33" xfId="0" applyNumberFormat="1" applyFont="1" applyFill="1" applyBorder="1" applyAlignment="1">
      <alignment horizontal="center" vertical="center"/>
    </xf>
    <xf numFmtId="0" fontId="17" fillId="2" borderId="33" xfId="0" applyFont="1" applyFill="1" applyBorder="1" applyAlignment="1">
      <alignment horizontal="justify" vertical="center"/>
    </xf>
    <xf numFmtId="0" fontId="6" fillId="2" borderId="26"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29" xfId="0" applyFont="1" applyFill="1" applyBorder="1" applyAlignment="1">
      <alignment horizontal="left" vertical="center" wrapText="1"/>
    </xf>
    <xf numFmtId="2" fontId="18" fillId="2" borderId="34" xfId="0" applyNumberFormat="1" applyFont="1" applyFill="1" applyBorder="1" applyAlignment="1">
      <alignment horizontal="center" vertical="center" wrapText="1"/>
    </xf>
    <xf numFmtId="0" fontId="6" fillId="2" borderId="33" xfId="0" applyFont="1" applyFill="1" applyBorder="1" applyAlignment="1">
      <alignment horizontal="justify" vertical="center" wrapText="1"/>
    </xf>
    <xf numFmtId="0" fontId="6" fillId="2" borderId="33" xfId="0" applyFont="1" applyFill="1" applyBorder="1" applyAlignment="1">
      <alignment horizontal="center" vertical="center"/>
    </xf>
    <xf numFmtId="3" fontId="6" fillId="2" borderId="33"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18" fillId="2" borderId="34" xfId="0" applyFont="1" applyFill="1" applyBorder="1" applyAlignment="1">
      <alignment horizontal="center" vertical="center" wrapText="1"/>
    </xf>
    <xf numFmtId="3" fontId="6" fillId="2" borderId="1" xfId="0" applyNumberFormat="1" applyFont="1" applyFill="1" applyBorder="1" applyAlignment="1">
      <alignment horizontal="center" vertical="center"/>
    </xf>
    <xf numFmtId="14" fontId="18" fillId="2" borderId="34" xfId="0" applyNumberFormat="1" applyFont="1" applyFill="1" applyBorder="1" applyAlignment="1">
      <alignment horizontal="center" vertical="center" wrapText="1"/>
    </xf>
    <xf numFmtId="0" fontId="6" fillId="2" borderId="29" xfId="0" applyFont="1" applyFill="1" applyBorder="1" applyAlignment="1">
      <alignment horizontal="left" vertical="center" wrapText="1" shrinkToFit="1"/>
    </xf>
    <xf numFmtId="0" fontId="6" fillId="2" borderId="35" xfId="0" applyFont="1" applyFill="1" applyBorder="1" applyAlignment="1">
      <alignment horizontal="justify" vertical="center" wrapText="1"/>
    </xf>
    <xf numFmtId="0" fontId="6" fillId="2" borderId="31" xfId="0" applyFont="1" applyFill="1" applyBorder="1" applyAlignment="1">
      <alignment horizontal="center" vertical="center"/>
    </xf>
    <xf numFmtId="1" fontId="6" fillId="2" borderId="33" xfId="0" applyNumberFormat="1" applyFont="1" applyFill="1" applyBorder="1" applyAlignment="1">
      <alignment horizontal="center" vertical="center"/>
    </xf>
    <xf numFmtId="0" fontId="6" fillId="2" borderId="29" xfId="0" applyFont="1" applyFill="1" applyBorder="1" applyAlignment="1">
      <alignment horizontal="center" vertical="center"/>
    </xf>
    <xf numFmtId="0" fontId="6" fillId="2" borderId="29" xfId="0" applyFont="1" applyFill="1" applyBorder="1" applyAlignment="1">
      <alignment horizontal="left" vertical="center"/>
    </xf>
    <xf numFmtId="0" fontId="6" fillId="2" borderId="29" xfId="0" applyFont="1" applyFill="1" applyBorder="1" applyAlignment="1">
      <alignment horizontal="center" wrapText="1"/>
    </xf>
    <xf numFmtId="0" fontId="5" fillId="2" borderId="33" xfId="0" applyFont="1" applyFill="1" applyBorder="1" applyAlignment="1">
      <alignment horizontal="center" vertical="center" wrapText="1"/>
    </xf>
    <xf numFmtId="3" fontId="5" fillId="2" borderId="34" xfId="0" applyNumberFormat="1" applyFont="1" applyFill="1" applyBorder="1" applyAlignment="1">
      <alignment horizontal="center" vertical="center"/>
    </xf>
    <xf numFmtId="49" fontId="18" fillId="2" borderId="34" xfId="0" applyNumberFormat="1" applyFont="1" applyFill="1" applyBorder="1" applyAlignment="1">
      <alignment horizontal="center" vertical="center" wrapText="1"/>
    </xf>
    <xf numFmtId="49" fontId="4" fillId="2" borderId="34" xfId="0" applyNumberFormat="1" applyFont="1" applyFill="1" applyBorder="1" applyAlignment="1">
      <alignment horizontal="center" vertical="center" wrapText="1"/>
    </xf>
    <xf numFmtId="0" fontId="5" fillId="2" borderId="29" xfId="0" applyFont="1" applyFill="1" applyBorder="1" applyAlignment="1">
      <alignment horizontal="left" vertical="center" wrapText="1"/>
    </xf>
    <xf numFmtId="0" fontId="5" fillId="2" borderId="20"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3" fontId="6" fillId="2" borderId="34" xfId="0" applyNumberFormat="1" applyFont="1" applyFill="1" applyBorder="1" applyAlignment="1">
      <alignment horizontal="center" vertical="center"/>
    </xf>
    <xf numFmtId="3" fontId="6" fillId="2" borderId="20" xfId="0" applyNumberFormat="1" applyFont="1" applyFill="1" applyBorder="1" applyAlignment="1">
      <alignment horizontal="center" vertical="center" wrapText="1"/>
    </xf>
    <xf numFmtId="0" fontId="5" fillId="2" borderId="29" xfId="0" applyFont="1" applyFill="1" applyBorder="1" applyAlignment="1">
      <alignment horizontal="justify" vertical="center" wrapText="1"/>
    </xf>
    <xf numFmtId="3" fontId="5" fillId="2" borderId="26" xfId="0" applyNumberFormat="1" applyFont="1" applyFill="1" applyBorder="1" applyAlignment="1">
      <alignment horizontal="center" vertical="center"/>
    </xf>
    <xf numFmtId="0" fontId="5" fillId="2" borderId="34" xfId="0" applyFont="1" applyFill="1" applyBorder="1" applyAlignment="1">
      <alignment horizontal="justify" vertical="center" wrapText="1"/>
    </xf>
    <xf numFmtId="0" fontId="5" fillId="2" borderId="34" xfId="0" applyFont="1" applyFill="1" applyBorder="1" applyAlignment="1">
      <alignment horizontal="center" vertical="center"/>
    </xf>
    <xf numFmtId="3" fontId="5" fillId="2" borderId="1" xfId="0" applyNumberFormat="1" applyFont="1" applyFill="1" applyBorder="1" applyAlignment="1">
      <alignment horizontal="center" vertical="center"/>
    </xf>
    <xf numFmtId="0" fontId="7" fillId="2" borderId="29" xfId="0" applyFont="1" applyFill="1" applyBorder="1" applyAlignment="1">
      <alignment horizontal="center" vertical="center" wrapText="1"/>
    </xf>
    <xf numFmtId="0" fontId="11" fillId="2" borderId="29" xfId="0" applyFont="1" applyFill="1" applyBorder="1" applyAlignment="1">
      <alignment horizontal="justify" vertical="center" wrapText="1"/>
    </xf>
    <xf numFmtId="0" fontId="11" fillId="2" borderId="29" xfId="0" applyFont="1" applyFill="1" applyBorder="1" applyAlignment="1">
      <alignment horizontal="center" vertical="center"/>
    </xf>
    <xf numFmtId="3" fontId="12" fillId="2" borderId="34" xfId="0" applyNumberFormat="1" applyFont="1" applyFill="1" applyBorder="1" applyAlignment="1">
      <alignment horizontal="center" vertical="center"/>
    </xf>
    <xf numFmtId="3" fontId="11" fillId="2" borderId="29" xfId="0" applyNumberFormat="1" applyFont="1" applyFill="1" applyBorder="1" applyAlignment="1">
      <alignment horizontal="center" vertical="center"/>
    </xf>
    <xf numFmtId="4" fontId="7" fillId="2" borderId="29" xfId="0" applyNumberFormat="1" applyFont="1" applyFill="1" applyBorder="1" applyAlignment="1">
      <alignment horizontal="center" vertical="center" wrapText="1"/>
    </xf>
    <xf numFmtId="0" fontId="7" fillId="2" borderId="29" xfId="0" applyFont="1" applyFill="1" applyBorder="1" applyAlignment="1">
      <alignment horizontal="left" vertical="center" wrapText="1"/>
    </xf>
    <xf numFmtId="0" fontId="7" fillId="2" borderId="0" xfId="0" applyFont="1" applyFill="1"/>
    <xf numFmtId="0" fontId="7" fillId="3" borderId="27" xfId="0" applyFont="1" applyFill="1" applyBorder="1" applyAlignment="1">
      <alignment horizontal="left" vertical="center" wrapText="1"/>
    </xf>
    <xf numFmtId="0" fontId="7" fillId="3" borderId="28"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34" xfId="0" applyFont="1" applyFill="1" applyBorder="1" applyAlignment="1">
      <alignment horizontal="left" vertical="center" wrapText="1"/>
    </xf>
    <xf numFmtId="0" fontId="4" fillId="2" borderId="29" xfId="0" applyFont="1" applyFill="1" applyBorder="1" applyAlignment="1">
      <alignment horizontal="left" vertical="center"/>
    </xf>
    <xf numFmtId="3" fontId="4" fillId="2" borderId="33" xfId="0" applyNumberFormat="1" applyFont="1" applyFill="1" applyBorder="1" applyAlignment="1">
      <alignment horizontal="center" vertical="center"/>
    </xf>
    <xf numFmtId="3" fontId="19" fillId="2" borderId="22" xfId="0" applyNumberFormat="1"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29" xfId="0" applyFont="1" applyFill="1" applyBorder="1" applyAlignment="1">
      <alignment horizontal="left" vertical="center" wrapText="1"/>
    </xf>
    <xf numFmtId="3" fontId="20" fillId="2" borderId="33" xfId="0" applyNumberFormat="1" applyFont="1" applyFill="1" applyBorder="1" applyAlignment="1">
      <alignment horizontal="center" vertical="center"/>
    </xf>
    <xf numFmtId="0" fontId="21" fillId="2" borderId="29" xfId="0" applyFont="1" applyFill="1" applyBorder="1" applyAlignment="1">
      <alignment horizontal="justify" vertical="center"/>
    </xf>
    <xf numFmtId="3" fontId="17" fillId="2" borderId="33" xfId="0" applyNumberFormat="1" applyFont="1" applyFill="1" applyBorder="1" applyAlignment="1">
      <alignment horizontal="center" vertical="center" wrapText="1"/>
    </xf>
    <xf numFmtId="0" fontId="18" fillId="2" borderId="22" xfId="0" applyFont="1" applyFill="1" applyBorder="1" applyAlignment="1">
      <alignment horizontal="center" vertical="center" wrapText="1"/>
    </xf>
    <xf numFmtId="0" fontId="6" fillId="2" borderId="22" xfId="0" applyFont="1" applyFill="1" applyBorder="1" applyAlignment="1">
      <alignment horizontal="center" vertical="center"/>
    </xf>
    <xf numFmtId="3" fontId="22" fillId="2" borderId="22" xfId="0" applyNumberFormat="1" applyFont="1" applyFill="1" applyBorder="1" applyAlignment="1">
      <alignment horizontal="center" vertical="center" wrapText="1"/>
    </xf>
    <xf numFmtId="0" fontId="18" fillId="2" borderId="30" xfId="0" applyFont="1" applyFill="1" applyBorder="1" applyAlignment="1">
      <alignment horizontal="center" vertical="center" wrapText="1"/>
    </xf>
    <xf numFmtId="0" fontId="6" fillId="2" borderId="30" xfId="0" applyFont="1" applyFill="1" applyBorder="1" applyAlignment="1">
      <alignment horizontal="center" vertical="center"/>
    </xf>
    <xf numFmtId="0" fontId="6" fillId="2" borderId="34" xfId="0" applyFont="1" applyFill="1" applyBorder="1" applyAlignment="1">
      <alignment horizontal="center" vertical="center"/>
    </xf>
    <xf numFmtId="0" fontId="18" fillId="2" borderId="34" xfId="0" applyFont="1" applyFill="1" applyBorder="1" applyAlignment="1">
      <alignment horizontal="center" vertical="center" wrapText="1"/>
    </xf>
    <xf numFmtId="0" fontId="23" fillId="2" borderId="30" xfId="0" applyFont="1" applyFill="1" applyBorder="1" applyAlignment="1">
      <alignment horizontal="center" vertical="center" wrapText="1"/>
    </xf>
    <xf numFmtId="0" fontId="23" fillId="2" borderId="34" xfId="0" applyFont="1" applyFill="1" applyBorder="1" applyAlignment="1">
      <alignment horizontal="center" vertical="center" wrapText="1"/>
    </xf>
    <xf numFmtId="14" fontId="18" fillId="2" borderId="19" xfId="0" applyNumberFormat="1" applyFont="1" applyFill="1" applyBorder="1" applyAlignment="1">
      <alignment horizontal="center" vertical="center" wrapText="1"/>
    </xf>
    <xf numFmtId="0" fontId="18" fillId="2" borderId="22" xfId="0" applyFont="1" applyFill="1" applyBorder="1" applyAlignment="1">
      <alignment horizontal="center" vertical="center"/>
    </xf>
    <xf numFmtId="3" fontId="18" fillId="2" borderId="33" xfId="0" applyNumberFormat="1" applyFont="1" applyFill="1" applyBorder="1" applyAlignment="1">
      <alignment horizontal="center" vertical="center"/>
    </xf>
    <xf numFmtId="0" fontId="18" fillId="2" borderId="33" xfId="0" applyFont="1" applyFill="1" applyBorder="1" applyAlignment="1">
      <alignment horizontal="center" vertical="center"/>
    </xf>
    <xf numFmtId="14" fontId="18" fillId="2" borderId="10" xfId="0" applyNumberFormat="1" applyFont="1" applyFill="1" applyBorder="1" applyAlignment="1">
      <alignment horizontal="center" vertical="center" wrapText="1"/>
    </xf>
    <xf numFmtId="0" fontId="18" fillId="2" borderId="33" xfId="0" applyFont="1" applyFill="1" applyBorder="1" applyAlignment="1">
      <alignment horizontal="justify" vertical="center" wrapText="1"/>
    </xf>
    <xf numFmtId="0" fontId="18" fillId="2" borderId="30" xfId="0" applyFont="1" applyFill="1" applyBorder="1" applyAlignment="1">
      <alignment horizontal="center" vertical="center"/>
    </xf>
    <xf numFmtId="3" fontId="24" fillId="2" borderId="33" xfId="0" applyNumberFormat="1" applyFont="1" applyFill="1" applyBorder="1" applyAlignment="1">
      <alignment horizontal="center" vertical="center"/>
    </xf>
    <xf numFmtId="14" fontId="18" fillId="2" borderId="11" xfId="0" applyNumberFormat="1" applyFont="1" applyFill="1" applyBorder="1" applyAlignment="1">
      <alignment horizontal="center" vertical="center" wrapText="1"/>
    </xf>
    <xf numFmtId="0" fontId="18" fillId="2" borderId="34" xfId="0" applyFont="1" applyFill="1" applyBorder="1" applyAlignment="1">
      <alignment horizontal="center" vertical="center"/>
    </xf>
    <xf numFmtId="0" fontId="18" fillId="2" borderId="34" xfId="0" applyFont="1" applyFill="1" applyBorder="1" applyAlignment="1">
      <alignment horizontal="center" vertical="center"/>
    </xf>
    <xf numFmtId="0" fontId="18" fillId="2" borderId="9" xfId="0" applyFont="1" applyFill="1" applyBorder="1" applyAlignment="1">
      <alignment vertical="center" wrapText="1"/>
    </xf>
    <xf numFmtId="0" fontId="25" fillId="2" borderId="9" xfId="0" applyFont="1" applyFill="1" applyBorder="1" applyAlignment="1">
      <alignment vertical="center" wrapText="1"/>
    </xf>
    <xf numFmtId="3" fontId="26" fillId="2" borderId="33" xfId="0" applyNumberFormat="1" applyFont="1" applyFill="1" applyBorder="1" applyAlignment="1">
      <alignment horizontal="center" vertical="center"/>
    </xf>
    <xf numFmtId="0" fontId="17" fillId="2" borderId="33" xfId="0" applyFont="1" applyFill="1" applyBorder="1" applyAlignment="1">
      <alignment horizontal="center" vertical="center" wrapText="1"/>
    </xf>
    <xf numFmtId="49" fontId="3" fillId="2" borderId="0" xfId="0" applyNumberFormat="1" applyFont="1" applyFill="1"/>
    <xf numFmtId="49" fontId="9" fillId="2" borderId="0" xfId="0" applyNumberFormat="1" applyFont="1" applyFill="1"/>
    <xf numFmtId="0" fontId="4" fillId="2" borderId="29" xfId="0" applyFont="1" applyFill="1" applyBorder="1" applyAlignment="1">
      <alignment horizontal="left" vertical="center" wrapText="1"/>
    </xf>
    <xf numFmtId="0" fontId="4" fillId="2" borderId="33" xfId="0" applyFont="1" applyFill="1" applyBorder="1" applyAlignment="1">
      <alignment horizontal="center" vertical="center" wrapText="1"/>
    </xf>
    <xf numFmtId="3" fontId="4" fillId="2" borderId="20" xfId="0" applyNumberFormat="1" applyFont="1" applyFill="1" applyBorder="1" applyAlignment="1">
      <alignment horizontal="center" vertical="center" wrapText="1"/>
    </xf>
    <xf numFmtId="3" fontId="4" fillId="2" borderId="33" xfId="0" applyNumberFormat="1" applyFont="1" applyFill="1" applyBorder="1" applyAlignment="1">
      <alignment horizontal="center" vertical="center" wrapText="1"/>
    </xf>
    <xf numFmtId="49" fontId="17" fillId="2" borderId="0" xfId="0" applyNumberFormat="1" applyFont="1" applyFill="1"/>
    <xf numFmtId="0" fontId="18" fillId="2" borderId="29" xfId="0" applyFont="1" applyFill="1" applyBorder="1" applyAlignment="1">
      <alignment horizontal="left" vertical="center" wrapText="1"/>
    </xf>
    <xf numFmtId="0" fontId="18" fillId="2" borderId="33" xfId="0" applyFont="1" applyFill="1" applyBorder="1" applyAlignment="1">
      <alignment horizontal="center" vertical="center" wrapText="1"/>
    </xf>
    <xf numFmtId="3" fontId="18" fillId="2" borderId="33" xfId="0" applyNumberFormat="1" applyFont="1" applyFill="1" applyBorder="1" applyAlignment="1">
      <alignment horizontal="center" vertical="center" wrapText="1"/>
    </xf>
    <xf numFmtId="0" fontId="18" fillId="2" borderId="33" xfId="0" applyFont="1" applyFill="1" applyBorder="1" applyAlignment="1">
      <alignment horizontal="left" vertical="center" wrapText="1"/>
    </xf>
    <xf numFmtId="49" fontId="4" fillId="2" borderId="0" xfId="0" applyNumberFormat="1" applyFont="1" applyFill="1"/>
    <xf numFmtId="0" fontId="3" fillId="2" borderId="33" xfId="0" applyFont="1" applyFill="1" applyBorder="1" applyAlignment="1">
      <alignment horizontal="justify" vertical="center" wrapText="1"/>
    </xf>
    <xf numFmtId="3" fontId="17" fillId="2" borderId="0" xfId="0" applyNumberFormat="1" applyFont="1" applyFill="1" applyBorder="1" applyAlignment="1">
      <alignment horizontal="center" vertical="center" wrapText="1"/>
    </xf>
    <xf numFmtId="49" fontId="27" fillId="2" borderId="0" xfId="0" applyNumberFormat="1" applyFont="1" applyFill="1"/>
    <xf numFmtId="3" fontId="4" fillId="0" borderId="33" xfId="0" applyNumberFormat="1" applyFont="1" applyFill="1" applyBorder="1" applyAlignment="1">
      <alignment horizontal="center" vertical="center"/>
    </xf>
    <xf numFmtId="0" fontId="28" fillId="2" borderId="33" xfId="0" applyFont="1" applyFill="1" applyBorder="1" applyAlignment="1">
      <alignment horizontal="center" vertical="center"/>
    </xf>
    <xf numFmtId="49" fontId="18" fillId="2" borderId="0" xfId="0" applyNumberFormat="1" applyFont="1" applyFill="1"/>
    <xf numFmtId="0" fontId="4" fillId="2" borderId="29"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1" xfId="0" applyFont="1" applyFill="1" applyBorder="1" applyAlignment="1">
      <alignment horizontal="justify" vertical="center" wrapText="1"/>
    </xf>
    <xf numFmtId="0" fontId="29" fillId="2" borderId="31" xfId="0" applyFont="1" applyFill="1" applyBorder="1" applyAlignment="1">
      <alignment horizontal="center" vertical="center"/>
    </xf>
    <xf numFmtId="3" fontId="7" fillId="2" borderId="31" xfId="0" applyNumberFormat="1" applyFont="1" applyFill="1" applyBorder="1" applyAlignment="1">
      <alignment horizontal="center" vertical="center"/>
    </xf>
    <xf numFmtId="3" fontId="19" fillId="2" borderId="31" xfId="0" applyNumberFormat="1" applyFont="1" applyFill="1" applyBorder="1" applyAlignment="1">
      <alignment horizontal="center" vertical="center"/>
    </xf>
    <xf numFmtId="0" fontId="9" fillId="2" borderId="22" xfId="0" applyFont="1" applyFill="1" applyBorder="1" applyAlignment="1">
      <alignment horizontal="center" vertical="center" wrapText="1"/>
    </xf>
    <xf numFmtId="0" fontId="9" fillId="2" borderId="22"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7" fillId="3" borderId="21" xfId="0" applyFont="1" applyFill="1" applyBorder="1" applyAlignment="1">
      <alignment horizontal="left" vertical="center" wrapText="1"/>
    </xf>
    <xf numFmtId="0" fontId="7" fillId="3" borderId="36" xfId="0" applyFont="1" applyFill="1" applyBorder="1" applyAlignment="1">
      <alignment horizontal="left" vertical="center" wrapText="1"/>
    </xf>
    <xf numFmtId="49" fontId="7" fillId="2" borderId="11" xfId="0" applyNumberFormat="1"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11" xfId="0" applyFont="1" applyFill="1" applyBorder="1" applyAlignment="1">
      <alignment horizontal="left" vertical="center" wrapText="1"/>
    </xf>
    <xf numFmtId="49" fontId="7" fillId="2" borderId="9" xfId="0"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7" fillId="2" borderId="9" xfId="0" applyFont="1" applyFill="1" applyBorder="1" applyAlignment="1">
      <alignment horizontal="center" vertical="center" wrapText="1"/>
    </xf>
    <xf numFmtId="0" fontId="4" fillId="2" borderId="9" xfId="0" applyFont="1" applyFill="1" applyBorder="1"/>
    <xf numFmtId="0" fontId="4" fillId="2" borderId="9" xfId="0" applyFont="1" applyFill="1" applyBorder="1" applyAlignment="1">
      <alignment horizontal="left" vertical="center"/>
    </xf>
    <xf numFmtId="0" fontId="4" fillId="2" borderId="9" xfId="0" applyFont="1" applyFill="1" applyBorder="1" applyAlignment="1">
      <alignment horizontal="justify" vertical="center" wrapText="1"/>
    </xf>
    <xf numFmtId="0" fontId="3" fillId="2" borderId="9" xfId="0" applyFont="1" applyFill="1" applyBorder="1" applyAlignment="1">
      <alignment wrapText="1"/>
    </xf>
    <xf numFmtId="49" fontId="4" fillId="2" borderId="9" xfId="0" applyNumberFormat="1" applyFont="1" applyFill="1" applyBorder="1" applyAlignment="1">
      <alignment horizontal="center" vertical="center"/>
    </xf>
    <xf numFmtId="49" fontId="4" fillId="2" borderId="9" xfId="0" applyNumberFormat="1" applyFont="1" applyFill="1" applyBorder="1" applyAlignment="1" applyProtection="1">
      <alignment horizontal="left" vertical="center" wrapText="1"/>
      <protection locked="0"/>
    </xf>
    <xf numFmtId="0" fontId="4" fillId="2" borderId="9" xfId="0" applyNumberFormat="1" applyFont="1" applyFill="1" applyBorder="1" applyAlignment="1">
      <alignment horizontal="center" vertical="center"/>
    </xf>
    <xf numFmtId="3" fontId="30" fillId="2" borderId="9" xfId="0" applyNumberFormat="1" applyFont="1" applyFill="1" applyBorder="1" applyAlignment="1">
      <alignment horizontal="center" vertical="center" wrapText="1"/>
    </xf>
    <xf numFmtId="49" fontId="18" fillId="2" borderId="9" xfId="0" applyNumberFormat="1" applyFont="1" applyFill="1" applyBorder="1" applyAlignment="1">
      <alignment horizontal="center" vertical="center" wrapText="1"/>
    </xf>
    <xf numFmtId="49" fontId="18" fillId="2" borderId="9" xfId="0" applyNumberFormat="1" applyFont="1" applyFill="1" applyBorder="1" applyAlignment="1">
      <alignment wrapText="1"/>
    </xf>
    <xf numFmtId="49" fontId="18" fillId="2" borderId="9" xfId="0" applyNumberFormat="1" applyFont="1" applyFill="1" applyBorder="1" applyAlignment="1">
      <alignment horizontal="left" vertical="center" wrapText="1"/>
    </xf>
    <xf numFmtId="49" fontId="3" fillId="2" borderId="9" xfId="0" applyNumberFormat="1" applyFont="1" applyFill="1" applyBorder="1" applyAlignment="1" applyProtection="1">
      <alignment horizontal="left" vertical="center" wrapText="1"/>
      <protection locked="0"/>
    </xf>
    <xf numFmtId="49" fontId="3" fillId="2" borderId="9" xfId="0" applyNumberFormat="1" applyFont="1" applyFill="1" applyBorder="1" applyAlignment="1">
      <alignment horizontal="center" vertical="center"/>
    </xf>
    <xf numFmtId="165" fontId="3" fillId="2" borderId="9" xfId="0" applyNumberFormat="1" applyFont="1" applyFill="1" applyBorder="1" applyAlignment="1" applyProtection="1">
      <alignment horizontal="left" vertical="center" wrapText="1"/>
      <protection locked="0"/>
    </xf>
    <xf numFmtId="49" fontId="31" fillId="2" borderId="9" xfId="0" applyNumberFormat="1" applyFont="1" applyFill="1" applyBorder="1" applyAlignment="1">
      <alignment horizontal="center" vertical="center" wrapText="1"/>
    </xf>
    <xf numFmtId="49" fontId="32" fillId="2" borderId="9" xfId="0" applyNumberFormat="1" applyFont="1" applyFill="1" applyBorder="1" applyAlignment="1">
      <alignment horizontal="center" vertical="center"/>
    </xf>
    <xf numFmtId="0" fontId="32" fillId="2" borderId="9" xfId="0" applyNumberFormat="1" applyFont="1" applyFill="1" applyBorder="1" applyAlignment="1">
      <alignment horizontal="center" vertical="center"/>
    </xf>
    <xf numFmtId="3" fontId="32" fillId="2" borderId="9" xfId="0" applyNumberFormat="1" applyFont="1" applyFill="1" applyBorder="1" applyAlignment="1">
      <alignment horizontal="center" vertical="center"/>
    </xf>
    <xf numFmtId="49" fontId="21" fillId="2" borderId="9" xfId="0" applyNumberFormat="1" applyFont="1" applyFill="1" applyBorder="1" applyAlignment="1">
      <alignment horizontal="center" vertical="center" wrapText="1"/>
    </xf>
    <xf numFmtId="49" fontId="21" fillId="2" borderId="9" xfId="0" applyNumberFormat="1" applyFont="1" applyFill="1" applyBorder="1" applyAlignment="1">
      <alignment wrapText="1"/>
    </xf>
    <xf numFmtId="49" fontId="21" fillId="2" borderId="0" xfId="0" applyNumberFormat="1" applyFont="1" applyFill="1"/>
    <xf numFmtId="49" fontId="21" fillId="2" borderId="9" xfId="0" applyNumberFormat="1" applyFont="1" applyFill="1" applyBorder="1" applyAlignment="1">
      <alignment horizontal="center" vertical="center"/>
    </xf>
    <xf numFmtId="0" fontId="21" fillId="2" borderId="9" xfId="0" applyNumberFormat="1" applyFont="1" applyFill="1" applyBorder="1" applyAlignment="1">
      <alignment horizontal="center" vertical="center"/>
    </xf>
    <xf numFmtId="3" fontId="21" fillId="2" borderId="9" xfId="0" applyNumberFormat="1" applyFont="1" applyFill="1" applyBorder="1" applyAlignment="1">
      <alignment horizontal="center" vertical="center"/>
    </xf>
    <xf numFmtId="0" fontId="21" fillId="2" borderId="9" xfId="0"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9" xfId="0" applyNumberFormat="1" applyFont="1" applyFill="1" applyBorder="1" applyAlignment="1">
      <alignment wrapText="1"/>
    </xf>
    <xf numFmtId="49" fontId="3" fillId="2" borderId="9" xfId="0" applyNumberFormat="1" applyFont="1" applyFill="1" applyBorder="1" applyAlignment="1">
      <alignment horizontal="left" vertical="center" wrapText="1"/>
    </xf>
    <xf numFmtId="49" fontId="4" fillId="2" borderId="9" xfId="0" applyNumberFormat="1" applyFont="1" applyFill="1" applyBorder="1" applyAlignment="1">
      <alignment horizontal="left" vertical="center" wrapText="1"/>
    </xf>
    <xf numFmtId="4" fontId="4" fillId="2" borderId="9" xfId="0" applyNumberFormat="1" applyFont="1" applyFill="1" applyBorder="1" applyAlignment="1">
      <alignment horizontal="center" vertical="center"/>
    </xf>
    <xf numFmtId="2" fontId="18" fillId="2" borderId="9" xfId="0" applyNumberFormat="1" applyFont="1" applyFill="1" applyBorder="1" applyAlignment="1">
      <alignment horizontal="center" vertical="center" wrapText="1"/>
    </xf>
    <xf numFmtId="49" fontId="6" fillId="2" borderId="10" xfId="0" applyNumberFormat="1" applyFont="1" applyFill="1" applyBorder="1" applyAlignment="1">
      <alignment horizontal="center" vertical="center"/>
    </xf>
    <xf numFmtId="49" fontId="6" fillId="2" borderId="9" xfId="0" applyNumberFormat="1" applyFont="1" applyFill="1" applyBorder="1" applyAlignment="1">
      <alignment horizontal="left" vertical="center" wrapText="1"/>
    </xf>
    <xf numFmtId="49" fontId="6" fillId="2" borderId="9" xfId="0" applyNumberFormat="1" applyFont="1" applyFill="1" applyBorder="1" applyAlignment="1">
      <alignment horizontal="center" vertical="center"/>
    </xf>
    <xf numFmtId="49" fontId="6" fillId="2" borderId="9" xfId="0" applyNumberFormat="1" applyFont="1" applyFill="1" applyBorder="1" applyAlignment="1">
      <alignment horizontal="center" vertical="center" wrapText="1"/>
    </xf>
    <xf numFmtId="49" fontId="6" fillId="2" borderId="19" xfId="0" applyNumberFormat="1" applyFont="1" applyFill="1" applyBorder="1" applyAlignment="1">
      <alignment horizontal="center" vertical="center"/>
    </xf>
    <xf numFmtId="0" fontId="6" fillId="2" borderId="19" xfId="0" applyNumberFormat="1" applyFont="1" applyFill="1" applyBorder="1" applyAlignment="1">
      <alignment horizontal="center" vertical="center"/>
    </xf>
    <xf numFmtId="4" fontId="6" fillId="2" borderId="9" xfId="0" applyNumberFormat="1" applyFont="1" applyFill="1" applyBorder="1" applyAlignment="1">
      <alignment horizontal="center" vertical="center"/>
    </xf>
    <xf numFmtId="49" fontId="6" fillId="2" borderId="10" xfId="0" applyNumberFormat="1" applyFont="1" applyFill="1" applyBorder="1" applyAlignment="1">
      <alignment horizontal="center" vertical="center"/>
    </xf>
    <xf numFmtId="49" fontId="6" fillId="2" borderId="11" xfId="0" applyNumberFormat="1" applyFont="1" applyFill="1" applyBorder="1" applyAlignment="1">
      <alignment horizontal="center" vertical="center"/>
    </xf>
    <xf numFmtId="0" fontId="6" fillId="2" borderId="11" xfId="0" applyNumberFormat="1" applyFont="1" applyFill="1" applyBorder="1" applyAlignment="1">
      <alignment horizontal="center" vertical="center"/>
    </xf>
    <xf numFmtId="11" fontId="6" fillId="2" borderId="9" xfId="0" applyNumberFormat="1" applyFont="1" applyFill="1" applyBorder="1" applyAlignment="1">
      <alignment horizontal="center" vertical="center" wrapText="1"/>
    </xf>
    <xf numFmtId="0" fontId="6" fillId="2" borderId="10" xfId="0" applyNumberFormat="1" applyFont="1" applyFill="1" applyBorder="1" applyAlignment="1">
      <alignment horizontal="center" vertical="center"/>
    </xf>
    <xf numFmtId="49" fontId="6" fillId="2" borderId="9" xfId="0" applyNumberFormat="1" applyFont="1" applyFill="1" applyBorder="1" applyAlignment="1" applyProtection="1">
      <alignment horizontal="left" vertical="center" wrapText="1"/>
      <protection locked="0"/>
    </xf>
    <xf numFmtId="49" fontId="18" fillId="2" borderId="9" xfId="0" applyNumberFormat="1" applyFont="1" applyFill="1" applyBorder="1" applyAlignment="1">
      <alignment horizontal="center" vertical="center"/>
    </xf>
    <xf numFmtId="0" fontId="18" fillId="2" borderId="9" xfId="0" applyNumberFormat="1" applyFont="1" applyFill="1" applyBorder="1" applyAlignment="1">
      <alignment horizontal="center" vertical="center"/>
    </xf>
    <xf numFmtId="4" fontId="18" fillId="2" borderId="9" xfId="0" applyNumberFormat="1" applyFont="1" applyFill="1" applyBorder="1" applyAlignment="1">
      <alignment horizontal="center" vertical="center"/>
    </xf>
    <xf numFmtId="3" fontId="18" fillId="2" borderId="9" xfId="0" applyNumberFormat="1" applyFont="1" applyFill="1" applyBorder="1" applyAlignment="1">
      <alignment horizontal="center" vertical="center"/>
    </xf>
    <xf numFmtId="0" fontId="6" fillId="2" borderId="9" xfId="0" applyNumberFormat="1" applyFont="1" applyFill="1" applyBorder="1" applyAlignment="1">
      <alignment horizontal="left" vertical="center" wrapText="1"/>
    </xf>
    <xf numFmtId="0" fontId="6" fillId="2" borderId="0" xfId="0" applyFont="1" applyFill="1" applyAlignment="1">
      <alignment horizontal="center" vertical="top" wrapText="1"/>
    </xf>
    <xf numFmtId="49" fontId="18" fillId="2" borderId="10" xfId="0" applyNumberFormat="1" applyFont="1" applyFill="1" applyBorder="1" applyAlignment="1">
      <alignment horizontal="center" vertical="center"/>
    </xf>
    <xf numFmtId="0" fontId="18" fillId="2" borderId="10" xfId="0" applyNumberFormat="1" applyFont="1" applyFill="1" applyBorder="1" applyAlignment="1">
      <alignment horizontal="center" vertical="center"/>
    </xf>
    <xf numFmtId="49" fontId="18" fillId="2" borderId="11" xfId="0" applyNumberFormat="1" applyFont="1" applyFill="1" applyBorder="1" applyAlignment="1">
      <alignment horizontal="center" vertical="center"/>
    </xf>
    <xf numFmtId="0" fontId="18" fillId="2" borderId="11" xfId="0" applyNumberFormat="1" applyFont="1" applyFill="1" applyBorder="1" applyAlignment="1">
      <alignment horizontal="center" vertical="center"/>
    </xf>
    <xf numFmtId="0" fontId="31" fillId="2" borderId="9" xfId="0" applyFont="1" applyFill="1" applyBorder="1" applyAlignment="1">
      <alignment horizontal="center" vertical="center" wrapText="1"/>
    </xf>
    <xf numFmtId="49" fontId="17" fillId="2" borderId="9" xfId="0" applyNumberFormat="1" applyFont="1" applyFill="1" applyBorder="1" applyAlignment="1">
      <alignment horizontal="center" vertical="center"/>
    </xf>
    <xf numFmtId="49" fontId="17" fillId="2" borderId="9" xfId="0" applyNumberFormat="1" applyFont="1" applyFill="1" applyBorder="1" applyAlignment="1" applyProtection="1">
      <alignment horizontal="left" vertical="center" wrapText="1"/>
      <protection locked="0"/>
    </xf>
    <xf numFmtId="3" fontId="17" fillId="2" borderId="9" xfId="0" applyNumberFormat="1" applyFont="1" applyFill="1" applyBorder="1" applyAlignment="1">
      <alignment horizontal="center" vertical="center"/>
    </xf>
    <xf numFmtId="49" fontId="18" fillId="2" borderId="19" xfId="0" applyNumberFormat="1" applyFont="1" applyFill="1" applyBorder="1" applyAlignment="1">
      <alignment horizontal="center" vertical="center"/>
    </xf>
    <xf numFmtId="0" fontId="18" fillId="2" borderId="19" xfId="0" applyNumberFormat="1" applyFont="1" applyFill="1" applyBorder="1" applyAlignment="1">
      <alignment horizontal="center" vertical="center"/>
    </xf>
    <xf numFmtId="49" fontId="3" fillId="2" borderId="19" xfId="0" applyNumberFormat="1" applyFont="1" applyFill="1" applyBorder="1" applyAlignment="1">
      <alignment horizontal="center" vertical="center"/>
    </xf>
    <xf numFmtId="0" fontId="3" fillId="2" borderId="9" xfId="0" applyNumberFormat="1" applyFont="1" applyFill="1" applyBorder="1" applyAlignment="1">
      <alignment horizontal="center" vertical="center"/>
    </xf>
    <xf numFmtId="0" fontId="33" fillId="2" borderId="9" xfId="0" applyFont="1" applyFill="1" applyBorder="1" applyAlignment="1">
      <alignment horizontal="center" vertical="center" wrapText="1"/>
    </xf>
    <xf numFmtId="49" fontId="3" fillId="2" borderId="11" xfId="0" applyNumberFormat="1" applyFont="1" applyFill="1" applyBorder="1" applyAlignment="1">
      <alignment horizontal="center" vertical="center"/>
    </xf>
    <xf numFmtId="0" fontId="33" fillId="2" borderId="9" xfId="0" applyNumberFormat="1" applyFont="1" applyFill="1" applyBorder="1" applyAlignment="1">
      <alignment horizontal="center" vertical="center" wrapText="1"/>
    </xf>
    <xf numFmtId="49" fontId="18" fillId="2" borderId="9" xfId="0" applyNumberFormat="1" applyFont="1" applyFill="1" applyBorder="1" applyAlignment="1" applyProtection="1">
      <alignment horizontal="left" vertical="center" wrapText="1"/>
      <protection locked="0"/>
    </xf>
    <xf numFmtId="4" fontId="17" fillId="2" borderId="9" xfId="0" applyNumberFormat="1" applyFont="1" applyFill="1" applyBorder="1" applyAlignment="1">
      <alignment horizontal="center" vertical="center"/>
    </xf>
    <xf numFmtId="49" fontId="17" fillId="2" borderId="9" xfId="0" applyNumberFormat="1" applyFont="1" applyFill="1" applyBorder="1" applyAlignment="1">
      <alignment horizontal="center" vertical="center" wrapText="1"/>
    </xf>
    <xf numFmtId="1" fontId="6" fillId="2" borderId="9" xfId="0" applyNumberFormat="1" applyFont="1" applyFill="1" applyBorder="1" applyAlignment="1">
      <alignment horizontal="center" vertical="center"/>
    </xf>
    <xf numFmtId="1" fontId="18" fillId="2" borderId="9" xfId="0" applyNumberFormat="1" applyFont="1" applyFill="1" applyBorder="1" applyAlignment="1">
      <alignment horizontal="center" vertical="center"/>
    </xf>
    <xf numFmtId="49" fontId="30" fillId="2" borderId="9" xfId="0" applyNumberFormat="1" applyFont="1" applyFill="1" applyBorder="1" applyAlignment="1">
      <alignment horizontal="center" vertical="center"/>
    </xf>
    <xf numFmtId="49" fontId="30" fillId="2" borderId="9" xfId="0" applyNumberFormat="1" applyFont="1" applyFill="1" applyBorder="1" applyAlignment="1" applyProtection="1">
      <alignment horizontal="left" vertical="center" wrapText="1"/>
      <protection locked="0"/>
    </xf>
    <xf numFmtId="3" fontId="30" fillId="2" borderId="9" xfId="0" applyNumberFormat="1" applyFont="1" applyFill="1" applyBorder="1" applyAlignment="1">
      <alignment horizontal="center" vertical="center"/>
    </xf>
    <xf numFmtId="49" fontId="34" fillId="2" borderId="9" xfId="0" applyNumberFormat="1" applyFont="1" applyFill="1" applyBorder="1" applyAlignment="1">
      <alignment horizontal="center" vertical="center" wrapText="1"/>
    </xf>
    <xf numFmtId="49" fontId="34" fillId="2" borderId="9" xfId="0" applyNumberFormat="1" applyFont="1" applyFill="1" applyBorder="1" applyAlignment="1">
      <alignment wrapText="1"/>
    </xf>
    <xf numFmtId="49" fontId="34" fillId="2" borderId="9" xfId="0" applyNumberFormat="1" applyFont="1" applyFill="1" applyBorder="1" applyAlignment="1">
      <alignment horizontal="left" vertical="center" wrapText="1"/>
    </xf>
    <xf numFmtId="0" fontId="35" fillId="2" borderId="0" xfId="0" applyFont="1" applyFill="1"/>
    <xf numFmtId="0" fontId="7" fillId="3" borderId="40" xfId="0" applyFont="1" applyFill="1" applyBorder="1" applyAlignment="1">
      <alignment horizontal="left" vertical="center" wrapText="1"/>
    </xf>
    <xf numFmtId="0" fontId="7" fillId="3" borderId="17" xfId="0" applyFont="1" applyFill="1" applyBorder="1" applyAlignment="1">
      <alignment horizontal="left" vertical="center" wrapText="1"/>
    </xf>
    <xf numFmtId="0" fontId="7" fillId="2" borderId="41" xfId="0" applyFont="1" applyFill="1" applyBorder="1" applyAlignment="1">
      <alignment horizontal="center" vertical="center" wrapText="1"/>
    </xf>
    <xf numFmtId="3" fontId="13" fillId="2" borderId="9" xfId="0" applyNumberFormat="1" applyFont="1" applyFill="1" applyBorder="1" applyAlignment="1">
      <alignment horizontal="center" vertical="center" wrapText="1"/>
    </xf>
    <xf numFmtId="3" fontId="6" fillId="2" borderId="9" xfId="0" applyNumberFormat="1" applyFont="1" applyFill="1" applyBorder="1" applyAlignment="1">
      <alignment horizontal="center" vertical="center" wrapText="1"/>
    </xf>
    <xf numFmtId="0" fontId="6" fillId="2" borderId="19" xfId="0" applyFont="1" applyFill="1" applyBorder="1" applyAlignment="1">
      <alignment horizontal="center" vertical="center"/>
    </xf>
    <xf numFmtId="3" fontId="6" fillId="2" borderId="19" xfId="0" applyNumberFormat="1" applyFont="1" applyFill="1" applyBorder="1" applyAlignment="1">
      <alignment horizontal="center" vertical="center" wrapText="1"/>
    </xf>
    <xf numFmtId="3" fontId="6" fillId="2" borderId="19" xfId="0" applyNumberFormat="1" applyFont="1" applyFill="1" applyBorder="1" applyAlignment="1">
      <alignment horizontal="center" vertical="center"/>
    </xf>
    <xf numFmtId="0" fontId="18" fillId="2" borderId="9" xfId="0" applyFont="1" applyFill="1" applyBorder="1" applyAlignment="1">
      <alignment horizontal="left" vertical="center" wrapText="1"/>
    </xf>
    <xf numFmtId="0" fontId="18" fillId="2" borderId="16" xfId="0" applyNumberFormat="1" applyFont="1" applyFill="1" applyBorder="1" applyAlignment="1">
      <alignment horizontal="center" vertical="center" wrapText="1"/>
    </xf>
    <xf numFmtId="0" fontId="18" fillId="2" borderId="9" xfId="0" applyFont="1" applyFill="1" applyBorder="1" applyAlignment="1">
      <alignment horizontal="justify" vertical="center" wrapText="1"/>
    </xf>
    <xf numFmtId="0" fontId="18" fillId="2" borderId="19"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9"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0" fontId="18" fillId="2" borderId="9" xfId="0" applyNumberFormat="1" applyFont="1" applyFill="1" applyBorder="1" applyAlignment="1">
      <alignment horizontal="center" vertical="center" wrapText="1"/>
    </xf>
    <xf numFmtId="0" fontId="18" fillId="2" borderId="10" xfId="0" applyFont="1" applyFill="1" applyBorder="1" applyAlignment="1">
      <alignment horizontal="center" vertical="center"/>
    </xf>
    <xf numFmtId="0" fontId="18" fillId="2" borderId="11" xfId="0" applyFont="1" applyFill="1" applyBorder="1" applyAlignment="1">
      <alignment horizontal="center" vertical="center"/>
    </xf>
    <xf numFmtId="3" fontId="6" fillId="2" borderId="11" xfId="0" applyNumberFormat="1" applyFont="1" applyFill="1" applyBorder="1" applyAlignment="1">
      <alignment horizontal="center" vertical="center"/>
    </xf>
    <xf numFmtId="0" fontId="18" fillId="2" borderId="11" xfId="0" applyFont="1" applyFill="1" applyBorder="1" applyAlignment="1">
      <alignment horizontal="center" vertical="center"/>
    </xf>
    <xf numFmtId="0" fontId="18" fillId="2" borderId="9" xfId="0" applyNumberFormat="1" applyFont="1" applyFill="1" applyBorder="1" applyAlignment="1">
      <alignment horizontal="center" vertical="center" wrapText="1"/>
    </xf>
    <xf numFmtId="0" fontId="6" fillId="2" borderId="9" xfId="0" applyFont="1" applyFill="1" applyBorder="1" applyAlignment="1">
      <alignment horizontal="justify" vertical="center" wrapText="1"/>
    </xf>
    <xf numFmtId="0" fontId="18" fillId="2" borderId="9" xfId="0" applyFont="1" applyFill="1" applyBorder="1" applyAlignment="1">
      <alignment vertical="center"/>
    </xf>
    <xf numFmtId="0" fontId="16" fillId="2" borderId="19" xfId="0" applyNumberFormat="1" applyFont="1" applyFill="1" applyBorder="1" applyAlignment="1">
      <alignment horizontal="center" vertical="center" wrapText="1"/>
    </xf>
    <xf numFmtId="0" fontId="16" fillId="2" borderId="9" xfId="0" applyFont="1" applyFill="1" applyBorder="1" applyAlignment="1">
      <alignment horizontal="left" vertical="center" wrapText="1"/>
    </xf>
    <xf numFmtId="0" fontId="16" fillId="2" borderId="19" xfId="0" applyFont="1" applyFill="1" applyBorder="1" applyAlignment="1">
      <alignment horizontal="center" vertical="center"/>
    </xf>
    <xf numFmtId="3" fontId="16" fillId="2" borderId="9" xfId="0" applyNumberFormat="1" applyFont="1" applyFill="1" applyBorder="1" applyAlignment="1">
      <alignment horizontal="center" vertical="center" wrapText="1"/>
    </xf>
    <xf numFmtId="0" fontId="16" fillId="2" borderId="9" xfId="0" applyFont="1" applyFill="1" applyBorder="1" applyAlignment="1">
      <alignment horizontal="center" vertical="center"/>
    </xf>
    <xf numFmtId="3" fontId="14" fillId="2" borderId="9" xfId="0" applyNumberFormat="1" applyFont="1" applyFill="1" applyBorder="1" applyAlignment="1">
      <alignment horizontal="center" vertical="center"/>
    </xf>
    <xf numFmtId="3" fontId="36" fillId="2" borderId="9" xfId="0" applyNumberFormat="1" applyFont="1" applyFill="1" applyBorder="1" applyAlignment="1">
      <alignment horizontal="center" vertical="center"/>
    </xf>
    <xf numFmtId="0" fontId="14" fillId="2" borderId="9" xfId="0" applyFont="1" applyFill="1" applyBorder="1" applyAlignment="1">
      <alignment horizontal="left" vertical="center" wrapText="1"/>
    </xf>
    <xf numFmtId="0" fontId="14" fillId="2" borderId="0" xfId="0" applyFont="1" applyFill="1"/>
    <xf numFmtId="0" fontId="16" fillId="2" borderId="10" xfId="0" applyNumberFormat="1" applyFont="1" applyFill="1" applyBorder="1" applyAlignment="1">
      <alignment horizontal="center" vertical="center" wrapText="1"/>
    </xf>
    <xf numFmtId="0" fontId="16" fillId="2" borderId="10" xfId="0" applyFont="1" applyFill="1" applyBorder="1" applyAlignment="1">
      <alignment horizontal="center" vertical="center"/>
    </xf>
    <xf numFmtId="0" fontId="16" fillId="2" borderId="11" xfId="0" applyNumberFormat="1" applyFont="1" applyFill="1" applyBorder="1" applyAlignment="1">
      <alignment horizontal="center" vertical="center" wrapText="1"/>
    </xf>
    <xf numFmtId="0" fontId="16" fillId="2" borderId="11" xfId="0" applyFont="1" applyFill="1" applyBorder="1" applyAlignment="1">
      <alignment horizontal="center" vertical="center"/>
    </xf>
    <xf numFmtId="0" fontId="21" fillId="2" borderId="0" xfId="0" applyFont="1" applyFill="1"/>
    <xf numFmtId="0" fontId="18" fillId="2" borderId="19" xfId="0" applyNumberFormat="1" applyFont="1" applyFill="1" applyBorder="1" applyAlignment="1">
      <alignment horizontal="center" vertical="center" wrapText="1"/>
    </xf>
    <xf numFmtId="3" fontId="18" fillId="2" borderId="9" xfId="0" applyNumberFormat="1" applyFont="1" applyFill="1" applyBorder="1" applyAlignment="1">
      <alignment horizontal="center" vertical="center" wrapText="1"/>
    </xf>
    <xf numFmtId="0" fontId="37" fillId="2" borderId="0" xfId="0" applyFont="1" applyFill="1"/>
    <xf numFmtId="0" fontId="18" fillId="2" borderId="10" xfId="0" applyNumberFormat="1" applyFont="1" applyFill="1" applyBorder="1" applyAlignment="1">
      <alignment horizontal="center" vertical="center" wrapText="1"/>
    </xf>
    <xf numFmtId="0" fontId="18" fillId="2" borderId="11" xfId="0" applyNumberFormat="1" applyFont="1" applyFill="1" applyBorder="1" applyAlignment="1">
      <alignment horizontal="center" vertical="center" wrapText="1"/>
    </xf>
    <xf numFmtId="0" fontId="38" fillId="2" borderId="0" xfId="0" applyFont="1" applyFill="1"/>
    <xf numFmtId="0" fontId="6" fillId="2" borderId="9" xfId="0" applyFont="1" applyFill="1" applyBorder="1" applyAlignment="1">
      <alignment vertical="center" wrapText="1"/>
    </xf>
    <xf numFmtId="0" fontId="18" fillId="2" borderId="18" xfId="0" applyFont="1" applyFill="1" applyBorder="1" applyAlignment="1">
      <alignment horizontal="center" vertical="center"/>
    </xf>
    <xf numFmtId="0" fontId="23" fillId="2" borderId="0" xfId="0" applyFont="1" applyFill="1"/>
    <xf numFmtId="0" fontId="5" fillId="2" borderId="9" xfId="0" applyNumberFormat="1" applyFont="1" applyFill="1" applyBorder="1" applyAlignment="1">
      <alignment horizontal="center" vertical="center" wrapText="1"/>
    </xf>
    <xf numFmtId="0" fontId="5" fillId="2" borderId="11" xfId="0" applyFont="1" applyFill="1" applyBorder="1" applyAlignment="1">
      <alignment horizontal="left" vertical="center" wrapText="1"/>
    </xf>
    <xf numFmtId="0" fontId="17" fillId="2" borderId="9" xfId="0" applyFont="1" applyFill="1" applyBorder="1" applyAlignment="1">
      <alignment horizontal="center" vertical="center"/>
    </xf>
    <xf numFmtId="0" fontId="5" fillId="2" borderId="9" xfId="0" applyFont="1" applyFill="1" applyBorder="1" applyAlignment="1">
      <alignment horizontal="left" vertical="center" wrapText="1"/>
    </xf>
    <xf numFmtId="0" fontId="25" fillId="2" borderId="0" xfId="0" applyFont="1" applyFill="1"/>
    <xf numFmtId="0" fontId="6" fillId="2" borderId="0" xfId="0" applyFont="1" applyFill="1" applyAlignment="1">
      <alignment horizontal="center" vertical="center"/>
    </xf>
    <xf numFmtId="0" fontId="6" fillId="2" borderId="9" xfId="0" applyNumberFormat="1" applyFont="1" applyFill="1" applyBorder="1" applyAlignment="1">
      <alignment horizontal="center" vertical="center" wrapText="1"/>
    </xf>
    <xf numFmtId="0" fontId="17" fillId="2" borderId="9" xfId="0" applyNumberFormat="1" applyFont="1" applyFill="1" applyBorder="1" applyAlignment="1">
      <alignment horizontal="center" vertical="center" wrapText="1"/>
    </xf>
    <xf numFmtId="3" fontId="6" fillId="0" borderId="9" xfId="0" applyNumberFormat="1" applyFont="1" applyFill="1" applyBorder="1" applyAlignment="1">
      <alignment horizontal="center" vertical="center"/>
    </xf>
    <xf numFmtId="0" fontId="3" fillId="2" borderId="9" xfId="1" applyFont="1" applyFill="1" applyBorder="1" applyAlignment="1">
      <alignment vertical="center" wrapText="1"/>
    </xf>
    <xf numFmtId="16" fontId="4" fillId="2" borderId="9" xfId="0" applyNumberFormat="1" applyFont="1" applyFill="1" applyBorder="1" applyAlignment="1">
      <alignment horizontal="center" vertical="center" wrapText="1"/>
    </xf>
    <xf numFmtId="166" fontId="4" fillId="2" borderId="9" xfId="0" applyNumberFormat="1" applyFont="1" applyFill="1" applyBorder="1" applyAlignment="1">
      <alignment horizontal="center" vertical="center"/>
    </xf>
    <xf numFmtId="0" fontId="7" fillId="2" borderId="9" xfId="0" applyNumberFormat="1" applyFont="1" applyFill="1" applyBorder="1" applyAlignment="1">
      <alignment horizontal="center" vertical="center" wrapText="1"/>
    </xf>
    <xf numFmtId="166" fontId="11" fillId="2" borderId="9" xfId="0" applyNumberFormat="1" applyFont="1" applyFill="1" applyBorder="1" applyAlignment="1">
      <alignment horizontal="center" vertical="center"/>
    </xf>
    <xf numFmtId="1" fontId="11" fillId="2" borderId="9" xfId="0" applyNumberFormat="1" applyFont="1" applyFill="1" applyBorder="1" applyAlignment="1">
      <alignment horizontal="center" vertical="center"/>
    </xf>
    <xf numFmtId="0" fontId="9" fillId="2" borderId="9" xfId="0" applyFont="1" applyFill="1" applyBorder="1" applyAlignment="1">
      <alignment horizontal="center" vertical="center" wrapText="1"/>
    </xf>
    <xf numFmtId="0" fontId="9" fillId="2" borderId="9" xfId="0" applyFont="1" applyFill="1" applyBorder="1" applyAlignment="1">
      <alignment horizontal="left" vertical="center" wrapText="1"/>
    </xf>
    <xf numFmtId="0" fontId="7" fillId="2" borderId="21"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11" xfId="0" applyFont="1" applyFill="1" applyBorder="1" applyAlignment="1">
      <alignment horizontal="left" vertical="center" wrapText="1"/>
    </xf>
    <xf numFmtId="3" fontId="39" fillId="2" borderId="9" xfId="0" applyNumberFormat="1" applyFont="1" applyFill="1" applyBorder="1" applyAlignment="1">
      <alignment horizontal="center" vertical="center" wrapText="1"/>
    </xf>
    <xf numFmtId="0" fontId="21" fillId="2" borderId="19" xfId="0" applyNumberFormat="1" applyFont="1" applyFill="1" applyBorder="1" applyAlignment="1">
      <alignment horizontal="center" vertical="center" wrapText="1"/>
    </xf>
    <xf numFmtId="0" fontId="21" fillId="2" borderId="11" xfId="0" applyFont="1" applyFill="1" applyBorder="1" applyAlignment="1">
      <alignment horizontal="center" vertical="center" wrapText="1"/>
    </xf>
    <xf numFmtId="3" fontId="21" fillId="2" borderId="9" xfId="0" applyNumberFormat="1" applyFont="1" applyFill="1" applyBorder="1" applyAlignment="1">
      <alignment horizontal="center" vertical="center" wrapText="1"/>
    </xf>
    <xf numFmtId="0" fontId="21" fillId="2" borderId="9" xfId="0" applyFont="1" applyFill="1" applyBorder="1" applyAlignment="1">
      <alignment horizontal="left" vertical="center" wrapText="1"/>
    </xf>
    <xf numFmtId="0" fontId="1" fillId="2" borderId="0" xfId="0" applyFont="1" applyFill="1"/>
    <xf numFmtId="0" fontId="21" fillId="2" borderId="19" xfId="0" applyFont="1" applyFill="1" applyBorder="1" applyAlignment="1">
      <alignment horizontal="center" vertical="center" wrapText="1"/>
    </xf>
    <xf numFmtId="0" fontId="21" fillId="2" borderId="9" xfId="0" applyNumberFormat="1" applyFont="1" applyFill="1" applyBorder="1" applyAlignment="1">
      <alignment horizontal="center" vertical="center" wrapText="1"/>
    </xf>
    <xf numFmtId="49" fontId="21" fillId="2" borderId="19" xfId="0" applyNumberFormat="1" applyFont="1" applyFill="1" applyBorder="1" applyAlignment="1">
      <alignment horizontal="center" vertical="center" wrapText="1"/>
    </xf>
    <xf numFmtId="49" fontId="21" fillId="2" borderId="19" xfId="0" applyNumberFormat="1" applyFont="1" applyFill="1" applyBorder="1" applyAlignment="1">
      <alignment horizontal="center" vertical="center" wrapText="1"/>
    </xf>
    <xf numFmtId="0" fontId="21" fillId="2" borderId="19" xfId="0" applyFont="1" applyFill="1" applyBorder="1" applyAlignment="1">
      <alignment horizontal="center" vertical="center" wrapText="1"/>
    </xf>
    <xf numFmtId="49" fontId="21" fillId="2" borderId="11" xfId="0" applyNumberFormat="1" applyFont="1" applyFill="1" applyBorder="1" applyAlignment="1">
      <alignment horizontal="center" vertical="center" wrapText="1"/>
    </xf>
    <xf numFmtId="0" fontId="21" fillId="2" borderId="11"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21" fillId="2" borderId="9" xfId="2" applyFont="1" applyFill="1" applyBorder="1" applyAlignment="1">
      <alignment horizontal="center" vertical="center" wrapText="1"/>
    </xf>
    <xf numFmtId="0" fontId="14" fillId="2" borderId="0" xfId="0" applyFont="1" applyFill="1" applyAlignment="1">
      <alignment vertical="center"/>
    </xf>
    <xf numFmtId="0" fontId="41" fillId="2" borderId="0" xfId="0" applyFont="1" applyFill="1" applyAlignment="1">
      <alignment vertical="center"/>
    </xf>
    <xf numFmtId="0" fontId="42" fillId="2" borderId="0" xfId="0" applyFont="1" applyFill="1" applyAlignment="1">
      <alignment vertical="center"/>
    </xf>
    <xf numFmtId="0" fontId="32" fillId="2" borderId="9" xfId="0" applyNumberFormat="1" applyFont="1" applyFill="1" applyBorder="1" applyAlignment="1">
      <alignment horizontal="center" vertical="center" wrapText="1"/>
    </xf>
    <xf numFmtId="0" fontId="32" fillId="2" borderId="9" xfId="0" applyFont="1" applyFill="1" applyBorder="1" applyAlignment="1">
      <alignment horizontal="center" vertical="center" wrapText="1"/>
    </xf>
    <xf numFmtId="1" fontId="32" fillId="2" borderId="9" xfId="0" applyNumberFormat="1" applyFont="1" applyFill="1" applyBorder="1" applyAlignment="1">
      <alignment horizontal="center" vertical="center" wrapText="1"/>
    </xf>
    <xf numFmtId="0" fontId="43" fillId="2" borderId="0" xfId="1" applyFont="1" applyFill="1" applyAlignment="1" applyProtection="1">
      <alignment horizontal="center" vertical="center"/>
    </xf>
    <xf numFmtId="3" fontId="32" fillId="2" borderId="9" xfId="0" applyNumberFormat="1" applyFont="1" applyFill="1" applyBorder="1" applyAlignment="1">
      <alignment horizontal="center" vertical="center" wrapText="1"/>
    </xf>
    <xf numFmtId="0" fontId="1" fillId="2" borderId="0" xfId="3" applyFont="1" applyFill="1" applyProtection="1"/>
    <xf numFmtId="0" fontId="32" fillId="2" borderId="19" xfId="0" applyFont="1" applyFill="1" applyBorder="1" applyAlignment="1">
      <alignment horizontal="center" vertical="center" wrapText="1"/>
    </xf>
    <xf numFmtId="0" fontId="42" fillId="2" borderId="0" xfId="1" applyFont="1" applyFill="1" applyAlignment="1" applyProtection="1">
      <alignment horizontal="center" vertical="center"/>
    </xf>
    <xf numFmtId="0" fontId="32" fillId="2" borderId="11" xfId="0" applyFont="1" applyFill="1" applyBorder="1" applyAlignment="1">
      <alignment horizontal="center" vertical="center" wrapText="1"/>
    </xf>
    <xf numFmtId="0" fontId="42" fillId="2" borderId="0" xfId="1" applyFont="1" applyFill="1"/>
    <xf numFmtId="0" fontId="41" fillId="2" borderId="9" xfId="0" applyFont="1" applyFill="1" applyBorder="1" applyAlignment="1">
      <alignment horizontal="center" vertical="center" wrapText="1"/>
    </xf>
    <xf numFmtId="0" fontId="39" fillId="2" borderId="9"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9" fillId="2" borderId="0" xfId="1" applyFont="1" applyFill="1"/>
    <xf numFmtId="49" fontId="7" fillId="3" borderId="20" xfId="0" applyNumberFormat="1" applyFont="1" applyFill="1" applyBorder="1" applyAlignment="1">
      <alignment horizontal="center" vertical="center" wrapText="1"/>
    </xf>
    <xf numFmtId="49" fontId="7" fillId="3" borderId="21" xfId="0" applyNumberFormat="1" applyFont="1" applyFill="1" applyBorder="1" applyAlignment="1">
      <alignment horizontal="center" vertical="center" wrapText="1"/>
    </xf>
    <xf numFmtId="49" fontId="7" fillId="2" borderId="21" xfId="0" applyNumberFormat="1" applyFont="1" applyFill="1" applyBorder="1" applyAlignment="1">
      <alignment horizontal="center" vertical="center" wrapText="1"/>
    </xf>
    <xf numFmtId="0" fontId="6" fillId="2" borderId="0" xfId="1" applyFont="1" applyFill="1"/>
    <xf numFmtId="49" fontId="18" fillId="2" borderId="22" xfId="0" applyNumberFormat="1"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7" fillId="2" borderId="29" xfId="0" applyFont="1" applyFill="1" applyBorder="1" applyAlignment="1">
      <alignment horizontal="center" vertical="center" wrapText="1"/>
    </xf>
    <xf numFmtId="0" fontId="17" fillId="2" borderId="29" xfId="0" applyFont="1" applyFill="1" applyBorder="1" applyAlignment="1">
      <alignment horizontal="left" vertical="center" wrapText="1"/>
    </xf>
    <xf numFmtId="0" fontId="5" fillId="2" borderId="22" xfId="0" applyFont="1" applyFill="1" applyBorder="1" applyAlignment="1">
      <alignment horizontal="center" vertical="center" wrapText="1"/>
    </xf>
    <xf numFmtId="49" fontId="18" fillId="2" borderId="30" xfId="0" applyNumberFormat="1" applyFont="1" applyFill="1" applyBorder="1" applyAlignment="1">
      <alignment horizontal="center" vertical="center" wrapText="1"/>
    </xf>
    <xf numFmtId="0" fontId="1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33" xfId="0" applyFont="1" applyFill="1" applyBorder="1" applyAlignment="1">
      <alignment horizontal="center" vertical="center" wrapText="1"/>
    </xf>
    <xf numFmtId="0" fontId="5" fillId="2" borderId="30" xfId="0" applyFont="1" applyFill="1" applyBorder="1" applyAlignment="1">
      <alignment horizontal="center" vertical="center" wrapText="1"/>
    </xf>
    <xf numFmtId="49" fontId="18" fillId="2" borderId="34" xfId="0" applyNumberFormat="1" applyFont="1" applyFill="1" applyBorder="1" applyAlignment="1">
      <alignment horizontal="center" vertical="center" wrapText="1"/>
    </xf>
    <xf numFmtId="0" fontId="18" fillId="2" borderId="27"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6" fillId="2" borderId="0" xfId="1" applyFont="1" applyFill="1" applyAlignment="1">
      <alignment horizontal="center" vertical="center" wrapText="1"/>
    </xf>
    <xf numFmtId="49" fontId="18" fillId="2" borderId="29" xfId="0" applyNumberFormat="1" applyFont="1" applyFill="1" applyBorder="1" applyAlignment="1">
      <alignment horizontal="center" vertical="center" wrapText="1"/>
    </xf>
    <xf numFmtId="0" fontId="18" fillId="2" borderId="26" xfId="0" applyFont="1" applyFill="1" applyBorder="1" applyAlignment="1">
      <alignment horizontal="center" vertical="center" wrapText="1"/>
    </xf>
    <xf numFmtId="49" fontId="17" fillId="2" borderId="34" xfId="0" applyNumberFormat="1" applyFont="1" applyFill="1" applyBorder="1" applyAlignment="1">
      <alignment horizontal="center" vertical="center" wrapText="1"/>
    </xf>
    <xf numFmtId="0" fontId="17" fillId="2" borderId="33" xfId="0" applyFont="1" applyFill="1" applyBorder="1" applyAlignment="1">
      <alignment horizontal="left" vertical="center" wrapText="1"/>
    </xf>
    <xf numFmtId="0" fontId="6" fillId="2" borderId="29" xfId="0" applyFont="1" applyFill="1" applyBorder="1" applyAlignment="1">
      <alignment vertical="center"/>
    </xf>
    <xf numFmtId="0" fontId="17" fillId="2" borderId="29" xfId="0" applyFont="1" applyFill="1" applyBorder="1" applyAlignment="1">
      <alignment horizontal="left" vertical="center" wrapText="1"/>
    </xf>
    <xf numFmtId="1" fontId="17" fillId="2" borderId="33" xfId="0" applyNumberFormat="1" applyFont="1" applyFill="1" applyBorder="1" applyAlignment="1">
      <alignment horizontal="center" vertical="center" wrapText="1"/>
    </xf>
    <xf numFmtId="1" fontId="44" fillId="2" borderId="33" xfId="0" applyNumberFormat="1" applyFont="1" applyFill="1" applyBorder="1" applyAlignment="1">
      <alignment horizontal="center" vertical="center" wrapText="1"/>
    </xf>
    <xf numFmtId="49" fontId="5" fillId="2" borderId="34" xfId="0" applyNumberFormat="1" applyFont="1" applyFill="1" applyBorder="1" applyAlignment="1">
      <alignment horizontal="center" vertical="center" wrapText="1"/>
    </xf>
    <xf numFmtId="0" fontId="5" fillId="2" borderId="33" xfId="0" applyFont="1" applyFill="1" applyBorder="1" applyAlignment="1">
      <alignment horizontal="left" vertical="center" wrapText="1"/>
    </xf>
    <xf numFmtId="3" fontId="7" fillId="2" borderId="33" xfId="0" applyNumberFormat="1" applyFont="1" applyFill="1" applyBorder="1" applyAlignment="1">
      <alignment horizontal="center" vertical="center" wrapText="1"/>
    </xf>
    <xf numFmtId="3" fontId="7" fillId="2" borderId="33" xfId="0" applyNumberFormat="1" applyFont="1" applyFill="1" applyBorder="1" applyAlignment="1">
      <alignment horizontal="left" vertical="center" wrapText="1"/>
    </xf>
    <xf numFmtId="3" fontId="5" fillId="2" borderId="33" xfId="0" applyNumberFormat="1" applyFont="1" applyFill="1" applyBorder="1" applyAlignment="1">
      <alignment horizontal="left" vertical="center" wrapText="1"/>
    </xf>
    <xf numFmtId="0" fontId="6" fillId="2" borderId="0" xfId="0" applyFont="1" applyFill="1" applyBorder="1" applyAlignment="1">
      <alignment horizontal="center" vertical="center"/>
    </xf>
    <xf numFmtId="0" fontId="6" fillId="2" borderId="0" xfId="0" applyFont="1" applyFill="1" applyAlignment="1">
      <alignment horizontal="left" vertical="center"/>
    </xf>
    <xf numFmtId="0" fontId="6" fillId="2" borderId="0" xfId="1" applyFont="1" applyFill="1" applyAlignment="1">
      <alignment horizontal="left"/>
    </xf>
    <xf numFmtId="0" fontId="23" fillId="2" borderId="0" xfId="3" applyFont="1" applyFill="1" applyProtection="1"/>
    <xf numFmtId="0" fontId="23" fillId="2" borderId="0" xfId="3" applyFont="1" applyFill="1" applyAlignment="1" applyProtection="1">
      <alignment horizontal="left"/>
    </xf>
    <xf numFmtId="0" fontId="18" fillId="2" borderId="0" xfId="1" applyFont="1" applyFill="1" applyBorder="1" applyAlignment="1">
      <alignment horizontal="center" vertical="center" wrapText="1"/>
    </xf>
    <xf numFmtId="0" fontId="15" fillId="2" borderId="0" xfId="1" applyFont="1" applyFill="1" applyAlignment="1" applyProtection="1">
      <alignment horizontal="center" vertical="center"/>
    </xf>
    <xf numFmtId="0" fontId="18" fillId="2" borderId="0" xfId="1" applyFont="1" applyFill="1" applyAlignment="1">
      <alignment horizontal="center" vertical="center" wrapText="1"/>
    </xf>
    <xf numFmtId="0" fontId="18" fillId="2" borderId="0" xfId="1" applyFont="1" applyFill="1" applyAlignment="1">
      <alignment horizontal="center" vertical="center" wrapText="1"/>
    </xf>
    <xf numFmtId="0" fontId="18" fillId="2" borderId="0" xfId="1" applyFont="1" applyFill="1" applyAlignment="1">
      <alignment horizontal="left" vertical="center" wrapText="1"/>
    </xf>
    <xf numFmtId="0" fontId="9" fillId="2" borderId="0" xfId="4" applyFont="1" applyFill="1" applyAlignment="1" applyProtection="1">
      <alignment horizontal="center" vertical="center"/>
      <protection hidden="1"/>
    </xf>
    <xf numFmtId="0" fontId="9" fillId="2" borderId="0" xfId="1" applyFont="1" applyFill="1" applyAlignment="1" applyProtection="1">
      <alignment horizontal="center" vertical="center"/>
    </xf>
    <xf numFmtId="0" fontId="7" fillId="2" borderId="0" xfId="4" applyFont="1" applyFill="1" applyBorder="1" applyAlignment="1" applyProtection="1">
      <alignment horizontal="left"/>
      <protection hidden="1"/>
    </xf>
    <xf numFmtId="0" fontId="9" fillId="2" borderId="0" xfId="1" applyFont="1" applyFill="1" applyAlignment="1">
      <alignment horizontal="center" vertical="center" wrapText="1"/>
    </xf>
    <xf numFmtId="0" fontId="9" fillId="2" borderId="0" xfId="1" applyFont="1" applyFill="1" applyAlignment="1" applyProtection="1">
      <alignment horizontal="left" vertical="center"/>
    </xf>
    <xf numFmtId="0" fontId="9" fillId="2" borderId="0" xfId="1" applyFont="1" applyFill="1" applyAlignment="1">
      <alignment horizontal="left" vertical="center" wrapText="1"/>
    </xf>
    <xf numFmtId="0" fontId="7" fillId="2" borderId="0" xfId="4" applyFont="1" applyFill="1" applyProtection="1">
      <protection hidden="1"/>
    </xf>
    <xf numFmtId="0" fontId="9" fillId="2" borderId="0" xfId="1" applyFont="1" applyFill="1" applyAlignment="1">
      <alignment horizontal="center" vertical="center" wrapText="1"/>
    </xf>
    <xf numFmtId="0" fontId="9" fillId="2" borderId="0" xfId="4" applyFont="1" applyFill="1" applyProtection="1">
      <protection hidden="1"/>
    </xf>
    <xf numFmtId="0" fontId="9" fillId="2" borderId="0" xfId="4" applyFont="1" applyFill="1" applyAlignment="1" applyProtection="1">
      <protection hidden="1"/>
    </xf>
    <xf numFmtId="0" fontId="9" fillId="2" borderId="0" xfId="4" applyFont="1" applyFill="1" applyAlignment="1" applyProtection="1">
      <alignment vertical="center"/>
      <protection hidden="1"/>
    </xf>
    <xf numFmtId="0" fontId="9" fillId="2" borderId="0" xfId="4" applyFont="1" applyFill="1" applyAlignment="1" applyProtection="1">
      <alignment horizontal="left"/>
      <protection hidden="1"/>
    </xf>
    <xf numFmtId="0" fontId="3" fillId="2" borderId="0" xfId="4" applyFont="1" applyFill="1" applyAlignment="1" applyProtection="1">
      <alignment horizontal="center" vertical="center"/>
      <protection hidden="1"/>
    </xf>
    <xf numFmtId="0" fontId="3" fillId="2" borderId="0" xfId="4" applyFont="1" applyFill="1" applyProtection="1">
      <protection hidden="1"/>
    </xf>
    <xf numFmtId="0" fontId="18" fillId="2" borderId="0" xfId="1" applyFont="1" applyFill="1" applyAlignment="1" applyProtection="1">
      <alignment horizontal="center" vertical="center"/>
    </xf>
    <xf numFmtId="0" fontId="3" fillId="2" borderId="0" xfId="4" applyFont="1" applyFill="1" applyAlignment="1" applyProtection="1">
      <protection hidden="1"/>
    </xf>
    <xf numFmtId="0" fontId="3" fillId="2" borderId="0" xfId="4" applyFont="1" applyFill="1" applyAlignment="1" applyProtection="1">
      <alignment vertical="center"/>
      <protection hidden="1"/>
    </xf>
    <xf numFmtId="0" fontId="3" fillId="2" borderId="0" xfId="4" applyFont="1" applyFill="1" applyAlignment="1" applyProtection="1">
      <alignment horizontal="left"/>
      <protection hidden="1"/>
    </xf>
    <xf numFmtId="0" fontId="18" fillId="2" borderId="0" xfId="1" applyFont="1" applyFill="1"/>
    <xf numFmtId="0" fontId="18" fillId="2" borderId="0" xfId="1" applyFont="1" applyFill="1" applyAlignment="1">
      <alignment horizontal="left"/>
    </xf>
    <xf numFmtId="0" fontId="18" fillId="2" borderId="0" xfId="4" applyFont="1" applyFill="1" applyAlignment="1" applyProtection="1">
      <alignment horizontal="left" indent="3"/>
      <protection hidden="1"/>
    </xf>
    <xf numFmtId="0" fontId="3" fillId="2" borderId="0" xfId="0" applyFont="1" applyFill="1" applyAlignment="1">
      <alignment horizontal="left"/>
    </xf>
  </cellXfs>
  <cellStyles count="5">
    <cellStyle name="Iau?iue 3 2" xfId="3"/>
    <cellStyle name="Iau?iue_dodatok 2" xfId="1"/>
    <cellStyle name="Обычный" xfId="0" builtinId="0"/>
    <cellStyle name="Обычный 3" xfId="2"/>
    <cellStyle name="Обычный_nkre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55;&#1083;&#1072;&#1085;&#1080;%20&#1088;&#1086;&#1079;&#1074;&#1080;&#1090;&#1082;&#1091;\2021-2025\&#1059;&#1082;&#1088;&#1079;&#1072;&#1083;&#1110;&#1079;&#1085;&#1080;&#1094;&#1103;\11\v&#1110;dpov&#1110;d%20na%20zauvazh%20NKREKP\&#1074;&#1110;&#1076;&#1087;&#1086;&#1074;&#1110;&#1076;&#1100;%20&#1085;&#1072;%20&#1079;&#1072;&#1091;&#1074;&#1072;&#1078;%20&#1053;&#1050;&#1056;&#1045;&#1050;&#1055;\&#1074;&#1110;&#1076;&#1087;.%20&#1085;&#1072;%20&#1079;&#1072;&#1091;&#1074;&#1072;&#1078;.%20&#1030;&#1055;%202020%20&#1085;&#1077;&#1074;&#1080;&#1082;.%20&#1086;&#1073;&#1108;&#1082;&#1090;&#1110;&#1074;%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а"/>
      <sheetName val="Табл 1"/>
      <sheetName val="Табл 2"/>
    </sheetNames>
    <sheetDataSet>
      <sheetData sheetId="0" refreshError="1"/>
      <sheetData sheetId="1" refreshError="1"/>
      <sheetData sheetId="2" refreshError="1">
        <row r="12">
          <cell r="C12" t="str">
            <v>Технічне переоснащення ПЖ "Драбове" із заміною обладнання 10/0,4 кВ ПЖ "Драбове" ст. Драбове-Барятинська, Черкаська обл, Драбівський р-н, с. Драбове-Барятинське, вул. Жовтнева, 2-а</v>
          </cell>
          <cell r="M12">
            <v>1742</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84"/>
  <sheetViews>
    <sheetView tabSelected="1" topLeftCell="F1" zoomScale="90" zoomScaleNormal="90" workbookViewId="0">
      <selection activeCell="R24" sqref="R24"/>
    </sheetView>
  </sheetViews>
  <sheetFormatPr defaultRowHeight="15.75"/>
  <cols>
    <col min="1" max="1" width="8.5703125" style="2" customWidth="1"/>
    <col min="2" max="2" width="58.42578125" style="2" customWidth="1"/>
    <col min="3" max="3" width="9" style="2" customWidth="1"/>
    <col min="4" max="4" width="16" style="2" customWidth="1"/>
    <col min="5" max="5" width="22" style="2" customWidth="1"/>
    <col min="6" max="6" width="20" style="2" customWidth="1"/>
    <col min="7" max="7" width="13.85546875" style="2" customWidth="1"/>
    <col min="8" max="8" width="13.7109375" style="2" customWidth="1"/>
    <col min="9" max="9" width="12.42578125" style="2" customWidth="1"/>
    <col min="10" max="10" width="13" style="2" customWidth="1"/>
    <col min="11" max="11" width="14.7109375" style="2" customWidth="1"/>
    <col min="12" max="12" width="15.85546875" style="2" customWidth="1"/>
    <col min="13" max="13" width="16.42578125" style="2" customWidth="1"/>
    <col min="14" max="14" width="15.7109375" style="2" customWidth="1"/>
    <col min="15" max="15" width="15.5703125" style="2" customWidth="1"/>
    <col min="16" max="16" width="17.7109375" style="2" customWidth="1"/>
    <col min="17" max="17" width="16.140625" style="2" hidden="1" customWidth="1"/>
    <col min="18" max="18" width="27.28515625" style="2" customWidth="1"/>
    <col min="19" max="19" width="13.5703125" style="2" customWidth="1"/>
    <col min="20" max="20" width="80.85546875" style="532" customWidth="1"/>
    <col min="21" max="21" width="63" style="2" customWidth="1"/>
    <col min="22" max="16384" width="9.140625" style="2"/>
  </cols>
  <sheetData>
    <row r="1" spans="1:28" ht="20.25" customHeight="1">
      <c r="A1" s="1" t="s">
        <v>0</v>
      </c>
      <c r="B1" s="1"/>
      <c r="C1" s="1"/>
      <c r="D1" s="1"/>
      <c r="E1" s="1"/>
      <c r="F1" s="1"/>
      <c r="G1" s="1"/>
      <c r="H1" s="1"/>
      <c r="I1" s="1"/>
      <c r="J1" s="1"/>
      <c r="K1" s="1"/>
      <c r="L1" s="1"/>
      <c r="M1" s="1"/>
      <c r="N1" s="1"/>
      <c r="O1" s="1"/>
      <c r="P1" s="1"/>
      <c r="Q1" s="1"/>
      <c r="R1" s="1"/>
      <c r="S1" s="1"/>
      <c r="T1" s="1"/>
      <c r="U1" s="1"/>
    </row>
    <row r="2" spans="1:28" ht="8.25" customHeight="1" thickBot="1">
      <c r="A2" s="3"/>
      <c r="B2" s="3"/>
      <c r="C2" s="3"/>
      <c r="D2" s="3"/>
      <c r="E2" s="3"/>
      <c r="F2" s="3"/>
      <c r="G2" s="3"/>
      <c r="H2" s="3"/>
      <c r="I2" s="3"/>
      <c r="J2" s="3"/>
      <c r="K2" s="3"/>
      <c r="L2" s="3"/>
      <c r="M2" s="3"/>
      <c r="N2" s="3"/>
      <c r="O2" s="3"/>
      <c r="P2" s="3"/>
      <c r="Q2" s="3"/>
      <c r="R2" s="3"/>
      <c r="S2" s="3"/>
      <c r="T2" s="3"/>
      <c r="U2" s="3"/>
    </row>
    <row r="3" spans="1:28" ht="15.75" customHeight="1">
      <c r="A3" s="4" t="s">
        <v>1</v>
      </c>
      <c r="B3" s="5" t="s">
        <v>2</v>
      </c>
      <c r="C3" s="5" t="s">
        <v>3</v>
      </c>
      <c r="D3" s="5" t="s">
        <v>4</v>
      </c>
      <c r="E3" s="5"/>
      <c r="F3" s="5" t="s">
        <v>5</v>
      </c>
      <c r="G3" s="5" t="s">
        <v>6</v>
      </c>
      <c r="H3" s="5"/>
      <c r="I3" s="5" t="s">
        <v>7</v>
      </c>
      <c r="J3" s="5"/>
      <c r="K3" s="6" t="s">
        <v>8</v>
      </c>
      <c r="L3" s="7"/>
      <c r="M3" s="7"/>
      <c r="N3" s="7"/>
      <c r="O3" s="8"/>
      <c r="P3" s="9" t="s">
        <v>9</v>
      </c>
      <c r="Q3" s="5" t="s">
        <v>10</v>
      </c>
      <c r="R3" s="5" t="s">
        <v>11</v>
      </c>
      <c r="S3" s="5" t="s">
        <v>12</v>
      </c>
      <c r="T3" s="5" t="s">
        <v>13</v>
      </c>
      <c r="U3" s="5" t="s">
        <v>14</v>
      </c>
    </row>
    <row r="4" spans="1:28" ht="93" customHeight="1">
      <c r="A4" s="10"/>
      <c r="B4" s="11"/>
      <c r="C4" s="11"/>
      <c r="D4" s="12" t="s">
        <v>15</v>
      </c>
      <c r="E4" s="12" t="s">
        <v>16</v>
      </c>
      <c r="F4" s="11"/>
      <c r="G4" s="12" t="s">
        <v>17</v>
      </c>
      <c r="H4" s="12" t="s">
        <v>18</v>
      </c>
      <c r="I4" s="12" t="s">
        <v>17</v>
      </c>
      <c r="J4" s="12" t="s">
        <v>18</v>
      </c>
      <c r="K4" s="12">
        <v>2021</v>
      </c>
      <c r="L4" s="12">
        <v>2022</v>
      </c>
      <c r="M4" s="12">
        <v>2023</v>
      </c>
      <c r="N4" s="12">
        <v>2024</v>
      </c>
      <c r="O4" s="12">
        <v>2025</v>
      </c>
      <c r="P4" s="13"/>
      <c r="Q4" s="11"/>
      <c r="R4" s="11"/>
      <c r="S4" s="11"/>
      <c r="T4" s="11"/>
      <c r="U4" s="11"/>
    </row>
    <row r="5" spans="1:28">
      <c r="A5" s="14">
        <v>1</v>
      </c>
      <c r="B5" s="12">
        <v>2</v>
      </c>
      <c r="C5" s="12">
        <v>3</v>
      </c>
      <c r="D5" s="12">
        <v>4</v>
      </c>
      <c r="E5" s="15">
        <v>5</v>
      </c>
      <c r="F5" s="12">
        <v>6</v>
      </c>
      <c r="G5" s="12">
        <v>7</v>
      </c>
      <c r="H5" s="12">
        <v>8</v>
      </c>
      <c r="I5" s="15">
        <v>9</v>
      </c>
      <c r="J5" s="12">
        <v>10</v>
      </c>
      <c r="K5" s="12">
        <v>11</v>
      </c>
      <c r="L5" s="12">
        <v>12</v>
      </c>
      <c r="M5" s="15">
        <v>13</v>
      </c>
      <c r="N5" s="12">
        <v>14</v>
      </c>
      <c r="O5" s="12">
        <v>15</v>
      </c>
      <c r="P5" s="16"/>
      <c r="Q5" s="12">
        <v>16</v>
      </c>
      <c r="R5" s="12">
        <v>17</v>
      </c>
      <c r="S5" s="12">
        <v>18</v>
      </c>
      <c r="T5" s="17">
        <v>19</v>
      </c>
      <c r="U5" s="12">
        <v>20</v>
      </c>
    </row>
    <row r="6" spans="1:28" s="21" customFormat="1">
      <c r="A6" s="18">
        <v>1</v>
      </c>
      <c r="B6" s="17" t="s">
        <v>19</v>
      </c>
      <c r="C6" s="12"/>
      <c r="D6" s="19"/>
      <c r="E6" s="19">
        <f>E31+E78+E155+E251+E329+E383+E447</f>
        <v>0</v>
      </c>
      <c r="F6" s="19"/>
      <c r="G6" s="19"/>
      <c r="H6" s="19"/>
      <c r="I6" s="19"/>
      <c r="J6" s="19"/>
      <c r="K6" s="19">
        <f>K31+K78+K155+K251+K329+K383+K447</f>
        <v>0</v>
      </c>
      <c r="L6" s="19">
        <f>L31+L78+L155+L251+L329+L383+L447</f>
        <v>0</v>
      </c>
      <c r="M6" s="19">
        <f>M31+M78+M155+M251+M329+M383+M447</f>
        <v>0</v>
      </c>
      <c r="N6" s="19">
        <f>N31+N78+N155+N251+N329+N383+N447</f>
        <v>0</v>
      </c>
      <c r="O6" s="19">
        <f>O31+O78+O155+O251+O329+O383+O447</f>
        <v>0</v>
      </c>
      <c r="P6" s="12" t="b">
        <f>E6=K6+L6+M6+N6+O6</f>
        <v>1</v>
      </c>
      <c r="Q6" s="12"/>
      <c r="R6" s="12"/>
      <c r="S6" s="12"/>
      <c r="T6" s="17"/>
      <c r="U6" s="12"/>
      <c r="V6" s="20"/>
      <c r="W6" s="20"/>
      <c r="X6" s="20"/>
      <c r="Y6" s="20"/>
      <c r="Z6" s="20"/>
      <c r="AA6" s="20"/>
      <c r="AB6" s="20"/>
    </row>
    <row r="7" spans="1:28" s="21" customFormat="1">
      <c r="A7" s="22" t="s">
        <v>20</v>
      </c>
      <c r="B7" s="23" t="s">
        <v>21</v>
      </c>
      <c r="C7" s="24" t="s">
        <v>22</v>
      </c>
      <c r="D7" s="25">
        <f>D32+D79+D157+D252+D330+D384+D448</f>
        <v>2</v>
      </c>
      <c r="E7" s="25">
        <f>E32+E79+E157+E252+E330+E384+E448</f>
        <v>0</v>
      </c>
      <c r="F7" s="25"/>
      <c r="G7" s="25"/>
      <c r="H7" s="25"/>
      <c r="I7" s="25"/>
      <c r="J7" s="25"/>
      <c r="K7" s="25">
        <f>K32+K79+K157+K252+K330+K384+K448</f>
        <v>0</v>
      </c>
      <c r="L7" s="25">
        <f>L32+L79+L157+L252+L330+L384+L448</f>
        <v>0</v>
      </c>
      <c r="M7" s="25">
        <f>M32+M79+M157+M252+M330+M384+M448</f>
        <v>0</v>
      </c>
      <c r="N7" s="25">
        <f>N32+N79+N157+N252+N330+N384+N448</f>
        <v>0</v>
      </c>
      <c r="O7" s="25">
        <f>O32+O79+O157+O252+O330+O384+O448</f>
        <v>0</v>
      </c>
      <c r="P7" s="24" t="b">
        <f t="shared" ref="P7:P26" si="0">E7=K7+L7+M7+N7+O7</f>
        <v>1</v>
      </c>
      <c r="Q7" s="24"/>
      <c r="R7" s="24"/>
      <c r="S7" s="24"/>
      <c r="T7" s="23"/>
      <c r="U7" s="24"/>
    </row>
    <row r="8" spans="1:28" s="21" customFormat="1">
      <c r="A8" s="22" t="s">
        <v>23</v>
      </c>
      <c r="B8" s="23" t="s">
        <v>24</v>
      </c>
      <c r="C8" s="24" t="s">
        <v>22</v>
      </c>
      <c r="D8" s="25">
        <f>D33+D81+D158+D255+D331+D449</f>
        <v>1</v>
      </c>
      <c r="E8" s="25">
        <f>E33+E81+E158+E255+E331+E449</f>
        <v>0</v>
      </c>
      <c r="F8" s="25"/>
      <c r="G8" s="25"/>
      <c r="H8" s="25"/>
      <c r="I8" s="25">
        <f t="shared" ref="I8:O8" si="1">I33+I81+I158+I255+I331+I449</f>
        <v>0</v>
      </c>
      <c r="J8" s="25">
        <f t="shared" si="1"/>
        <v>0</v>
      </c>
      <c r="K8" s="25">
        <f t="shared" si="1"/>
        <v>0</v>
      </c>
      <c r="L8" s="25">
        <f t="shared" si="1"/>
        <v>0</v>
      </c>
      <c r="M8" s="25">
        <f t="shared" si="1"/>
        <v>0</v>
      </c>
      <c r="N8" s="25">
        <f t="shared" si="1"/>
        <v>0</v>
      </c>
      <c r="O8" s="25">
        <f t="shared" si="1"/>
        <v>0</v>
      </c>
      <c r="P8" s="24" t="b">
        <f t="shared" si="0"/>
        <v>1</v>
      </c>
      <c r="Q8" s="24"/>
      <c r="R8" s="25"/>
      <c r="S8" s="25"/>
      <c r="T8" s="23"/>
      <c r="U8" s="24"/>
    </row>
    <row r="9" spans="1:28" s="21" customFormat="1">
      <c r="A9" s="22" t="s">
        <v>25</v>
      </c>
      <c r="B9" s="23" t="s">
        <v>26</v>
      </c>
      <c r="C9" s="24" t="s">
        <v>27</v>
      </c>
      <c r="D9" s="25">
        <f>D34+D82+D256+D332+D385+D450</f>
        <v>26.8</v>
      </c>
      <c r="E9" s="25">
        <f>E34+E82+E256+E332+E385+E450</f>
        <v>0</v>
      </c>
      <c r="F9" s="25"/>
      <c r="G9" s="25"/>
      <c r="H9" s="25"/>
      <c r="I9" s="25"/>
      <c r="J9" s="25"/>
      <c r="K9" s="25">
        <f>K34+K82+K256+K332+K385+K450</f>
        <v>0</v>
      </c>
      <c r="L9" s="25">
        <f>L34+L82+L256+L332+L385+L450</f>
        <v>0</v>
      </c>
      <c r="M9" s="25">
        <f>M34+M82+M256+M332+M385+M450</f>
        <v>0</v>
      </c>
      <c r="N9" s="25">
        <f>N34+N82+N256+N332+N385+N450</f>
        <v>0</v>
      </c>
      <c r="O9" s="25">
        <f>O34+O82+O256+O332+O385+O450</f>
        <v>0</v>
      </c>
      <c r="P9" s="24" t="b">
        <f t="shared" si="0"/>
        <v>1</v>
      </c>
      <c r="Q9" s="24"/>
      <c r="R9" s="24"/>
      <c r="S9" s="24"/>
      <c r="T9" s="23"/>
      <c r="U9" s="24"/>
    </row>
    <row r="10" spans="1:28" s="21" customFormat="1" ht="31.5">
      <c r="A10" s="22" t="s">
        <v>28</v>
      </c>
      <c r="B10" s="23" t="s">
        <v>29</v>
      </c>
      <c r="C10" s="24" t="s">
        <v>27</v>
      </c>
      <c r="D10" s="25">
        <f>D35+D83+D159+D333+D386+D451</f>
        <v>0</v>
      </c>
      <c r="E10" s="25">
        <f>E35+E83+E159+E333+E386+E451</f>
        <v>0</v>
      </c>
      <c r="F10" s="25"/>
      <c r="G10" s="25"/>
      <c r="H10" s="25"/>
      <c r="I10" s="25"/>
      <c r="J10" s="25"/>
      <c r="K10" s="25">
        <f>K35+K83+K159+K333+K386+K451</f>
        <v>0</v>
      </c>
      <c r="L10" s="25">
        <f>L35+L83+L159+L333+L386+L451</f>
        <v>0</v>
      </c>
      <c r="M10" s="25">
        <f>M35+M83+M159+M333+M386+M451</f>
        <v>0</v>
      </c>
      <c r="N10" s="25">
        <f>N35+N83+N159+N333+N386+N451</f>
        <v>0</v>
      </c>
      <c r="O10" s="25">
        <f>O35+O83+O159+O333+O386+O451</f>
        <v>0</v>
      </c>
      <c r="P10" s="24" t="b">
        <f t="shared" si="0"/>
        <v>1</v>
      </c>
      <c r="Q10" s="24"/>
      <c r="R10" s="24"/>
      <c r="S10" s="24"/>
      <c r="T10" s="23"/>
      <c r="U10" s="24"/>
    </row>
    <row r="11" spans="1:28" s="21" customFormat="1" ht="31.5">
      <c r="A11" s="18" t="s">
        <v>30</v>
      </c>
      <c r="B11" s="17" t="s">
        <v>31</v>
      </c>
      <c r="C11" s="12"/>
      <c r="D11" s="19"/>
      <c r="E11" s="19">
        <f>E36+E84+E160+E259+E334+E387+E452</f>
        <v>1970201.0199999998</v>
      </c>
      <c r="F11" s="19"/>
      <c r="G11" s="19"/>
      <c r="H11" s="19"/>
      <c r="I11" s="19"/>
      <c r="J11" s="19"/>
      <c r="K11" s="19">
        <f t="shared" ref="K11:O12" si="2">K36+K84+K160+K259+K334+K387+K452</f>
        <v>383362.36</v>
      </c>
      <c r="L11" s="19">
        <f t="shared" si="2"/>
        <v>326404.76</v>
      </c>
      <c r="M11" s="19">
        <f t="shared" si="2"/>
        <v>384103.9</v>
      </c>
      <c r="N11" s="19">
        <f t="shared" si="2"/>
        <v>408795</v>
      </c>
      <c r="O11" s="19">
        <f t="shared" si="2"/>
        <v>467535</v>
      </c>
      <c r="P11" s="12" t="b">
        <f t="shared" si="0"/>
        <v>1</v>
      </c>
      <c r="Q11" s="24"/>
      <c r="R11" s="24"/>
      <c r="S11" s="24"/>
      <c r="T11" s="23"/>
      <c r="U11" s="24"/>
      <c r="V11" s="20"/>
      <c r="W11" s="20"/>
      <c r="X11" s="20"/>
      <c r="Y11" s="20"/>
      <c r="Z11" s="20"/>
      <c r="AA11" s="20"/>
      <c r="AB11" s="20"/>
    </row>
    <row r="12" spans="1:28" s="21" customFormat="1">
      <c r="A12" s="22" t="s">
        <v>32</v>
      </c>
      <c r="B12" s="23" t="s">
        <v>21</v>
      </c>
      <c r="C12" s="24" t="s">
        <v>22</v>
      </c>
      <c r="D12" s="25">
        <f>D37+D85+D161+D260+D335+D388+D453</f>
        <v>113</v>
      </c>
      <c r="E12" s="25">
        <f>E37+E85+E161+E260+E335+E388+E453</f>
        <v>1675677.23</v>
      </c>
      <c r="F12" s="25"/>
      <c r="G12" s="25"/>
      <c r="H12" s="25"/>
      <c r="I12" s="25"/>
      <c r="J12" s="25"/>
      <c r="K12" s="25">
        <f t="shared" si="2"/>
        <v>310161.57</v>
      </c>
      <c r="L12" s="25">
        <f t="shared" si="2"/>
        <v>286634.76</v>
      </c>
      <c r="M12" s="25">
        <f t="shared" si="2"/>
        <v>354183.9</v>
      </c>
      <c r="N12" s="25">
        <f t="shared" si="2"/>
        <v>356307</v>
      </c>
      <c r="O12" s="25">
        <f t="shared" si="2"/>
        <v>368390</v>
      </c>
      <c r="P12" s="24" t="b">
        <f t="shared" si="0"/>
        <v>1</v>
      </c>
      <c r="Q12" s="24"/>
      <c r="R12" s="24"/>
      <c r="S12" s="24"/>
      <c r="T12" s="23"/>
      <c r="U12" s="24"/>
    </row>
    <row r="13" spans="1:28" s="21" customFormat="1">
      <c r="A13" s="22" t="s">
        <v>33</v>
      </c>
      <c r="B13" s="23" t="s">
        <v>24</v>
      </c>
      <c r="C13" s="24" t="s">
        <v>22</v>
      </c>
      <c r="D13" s="25">
        <f>D56+D125+D222+D302+D354+D402+D454</f>
        <v>29</v>
      </c>
      <c r="E13" s="25">
        <f>E56+E125+E222+E302+E354+E402+E454</f>
        <v>270672.79000000004</v>
      </c>
      <c r="F13" s="25"/>
      <c r="G13" s="25"/>
      <c r="H13" s="25"/>
      <c r="I13" s="25"/>
      <c r="J13" s="25"/>
      <c r="K13" s="25">
        <f>K56+K125+K222+K302+K354+K402+K454</f>
        <v>73200.789999999994</v>
      </c>
      <c r="L13" s="25">
        <f>L56+L125+L222+L302+L354+L402+L454</f>
        <v>23249</v>
      </c>
      <c r="M13" s="25">
        <f>M56+M125+M222+M302+M354+M402+M454</f>
        <v>25270</v>
      </c>
      <c r="N13" s="25">
        <f>N56+N125+N222+N302+N354+N402+N454</f>
        <v>49808</v>
      </c>
      <c r="O13" s="25">
        <f>O56+O125+O222+O302+O354+O402+O454</f>
        <v>99145</v>
      </c>
      <c r="P13" s="24" t="b">
        <f t="shared" si="0"/>
        <v>1</v>
      </c>
      <c r="Q13" s="24"/>
      <c r="R13" s="24"/>
      <c r="S13" s="24"/>
      <c r="T13" s="23"/>
      <c r="U13" s="24"/>
    </row>
    <row r="14" spans="1:28" s="21" customFormat="1" ht="31.5">
      <c r="A14" s="22" t="s">
        <v>34</v>
      </c>
      <c r="B14" s="23" t="s">
        <v>35</v>
      </c>
      <c r="C14" s="24" t="s">
        <v>22</v>
      </c>
      <c r="D14" s="25">
        <v>0.15</v>
      </c>
      <c r="E14" s="25">
        <f>E59+E136+E230+E308+E358+E415+E455</f>
        <v>630</v>
      </c>
      <c r="F14" s="25"/>
      <c r="G14" s="25"/>
      <c r="H14" s="25"/>
      <c r="I14" s="25"/>
      <c r="J14" s="25"/>
      <c r="K14" s="25">
        <f>K59+K136+K230+K308+K358+K415+K455</f>
        <v>0</v>
      </c>
      <c r="L14" s="25">
        <f>L59+L136+L230+L308+L358+L415+L455</f>
        <v>630</v>
      </c>
      <c r="M14" s="25">
        <f>M59+M136+M230+M308+M358+M415+M455</f>
        <v>0</v>
      </c>
      <c r="N14" s="25">
        <f>N59+N136+N230+N308+N358+N415+N455</f>
        <v>0</v>
      </c>
      <c r="O14" s="25">
        <f>O59+O136+O230+O308+O358+O415+O455</f>
        <v>0</v>
      </c>
      <c r="P14" s="24" t="b">
        <f t="shared" si="0"/>
        <v>1</v>
      </c>
      <c r="Q14" s="24"/>
      <c r="R14" s="24"/>
      <c r="S14" s="24"/>
      <c r="T14" s="23"/>
      <c r="U14" s="24"/>
    </row>
    <row r="15" spans="1:28" s="21" customFormat="1" ht="31.5">
      <c r="A15" s="22" t="s">
        <v>36</v>
      </c>
      <c r="B15" s="23" t="s">
        <v>29</v>
      </c>
      <c r="C15" s="24" t="s">
        <v>22</v>
      </c>
      <c r="D15" s="25">
        <f>D60+D137+D231+D310+D419+D456</f>
        <v>8.5500000000000007</v>
      </c>
      <c r="E15" s="25">
        <f>E60+E137+E231+E310+E419+E456</f>
        <v>23221</v>
      </c>
      <c r="F15" s="25"/>
      <c r="G15" s="25"/>
      <c r="H15" s="25"/>
      <c r="I15" s="25"/>
      <c r="J15" s="25"/>
      <c r="K15" s="25">
        <f>K60+K137+K231+K310+K419+K456</f>
        <v>0</v>
      </c>
      <c r="L15" s="25">
        <f>L60+L137+L231+L310+L419+L456</f>
        <v>15891</v>
      </c>
      <c r="M15" s="25">
        <f>M60+M137+M231+M310+M419+M456</f>
        <v>4650</v>
      </c>
      <c r="N15" s="25">
        <f>N60+N137+N231+N310+N419+N456</f>
        <v>2680</v>
      </c>
      <c r="O15" s="25">
        <f>O60+O137+O231+O310+O419+O456</f>
        <v>0</v>
      </c>
      <c r="P15" s="24" t="b">
        <f t="shared" si="0"/>
        <v>1</v>
      </c>
      <c r="Q15" s="24"/>
      <c r="R15" s="24"/>
      <c r="S15" s="24"/>
      <c r="T15" s="23"/>
      <c r="U15" s="24"/>
    </row>
    <row r="16" spans="1:28" s="21" customFormat="1" ht="31.5">
      <c r="A16" s="18" t="s">
        <v>37</v>
      </c>
      <c r="B16" s="17" t="s">
        <v>38</v>
      </c>
      <c r="C16" s="12" t="s">
        <v>22</v>
      </c>
      <c r="D16" s="19">
        <f>D62+D139+D233+D311+D359+D423+D457</f>
        <v>0</v>
      </c>
      <c r="E16" s="19">
        <f>E62+E139+E233+E311+E359+E423+E457</f>
        <v>10000</v>
      </c>
      <c r="F16" s="19"/>
      <c r="G16" s="19"/>
      <c r="H16" s="19"/>
      <c r="I16" s="19"/>
      <c r="J16" s="19"/>
      <c r="K16" s="19">
        <f>K62+K139+K233+K311+K359+K423+K457</f>
        <v>0</v>
      </c>
      <c r="L16" s="19">
        <f>L62+L139+L233+L311+L359+L423+L457</f>
        <v>10000</v>
      </c>
      <c r="M16" s="19">
        <f>M62+M139+M233+M311+M359+M423+M457</f>
        <v>0</v>
      </c>
      <c r="N16" s="19">
        <f>N62+N139+N233+N311+N359+N423+N457</f>
        <v>0</v>
      </c>
      <c r="O16" s="19">
        <f>O62+O139+O233+O311+O359+O423+O457</f>
        <v>0</v>
      </c>
      <c r="P16" s="12" t="b">
        <f t="shared" si="0"/>
        <v>1</v>
      </c>
      <c r="Q16" s="24"/>
      <c r="R16" s="24"/>
      <c r="S16" s="24"/>
      <c r="T16" s="23"/>
      <c r="U16" s="24"/>
      <c r="V16" s="20"/>
      <c r="W16" s="20"/>
      <c r="X16" s="20"/>
      <c r="Y16" s="20"/>
      <c r="Z16" s="20"/>
      <c r="AA16" s="20"/>
      <c r="AB16" s="20"/>
    </row>
    <row r="17" spans="1:28" s="21" customFormat="1" ht="31.5">
      <c r="A17" s="18" t="s">
        <v>39</v>
      </c>
      <c r="B17" s="17" t="s">
        <v>40</v>
      </c>
      <c r="C17" s="12" t="s">
        <v>22</v>
      </c>
      <c r="D17" s="19"/>
      <c r="E17" s="19">
        <f>E63+E140+E234+E313+E362+E432+E458</f>
        <v>499964.69</v>
      </c>
      <c r="F17" s="19"/>
      <c r="G17" s="19"/>
      <c r="H17" s="19"/>
      <c r="I17" s="19"/>
      <c r="J17" s="19"/>
      <c r="K17" s="19">
        <f>K63+K140+K234+K313+K362+K432+K458</f>
        <v>81674.19</v>
      </c>
      <c r="L17" s="19">
        <f>L63+L140+L234+L313+L362+L432+L458</f>
        <v>99244.5</v>
      </c>
      <c r="M17" s="19">
        <f>M63+M140+M234+M313+M362+M432+M458</f>
        <v>94432</v>
      </c>
      <c r="N17" s="19">
        <f>N63+N140+N234+N313+N362+N432+N458</f>
        <v>108235</v>
      </c>
      <c r="O17" s="19">
        <f>O63+O140+O234+O313+O362+O432+O458</f>
        <v>116379</v>
      </c>
      <c r="P17" s="12" t="b">
        <f t="shared" si="0"/>
        <v>1</v>
      </c>
      <c r="Q17" s="24"/>
      <c r="R17" s="24"/>
      <c r="S17" s="24"/>
      <c r="T17" s="23"/>
      <c r="U17" s="24"/>
      <c r="V17" s="20"/>
      <c r="W17" s="20"/>
      <c r="X17" s="20"/>
      <c r="Y17" s="20"/>
      <c r="Z17" s="20"/>
      <c r="AA17" s="20"/>
      <c r="AB17" s="20"/>
    </row>
    <row r="18" spans="1:28" s="21" customFormat="1">
      <c r="A18" s="22" t="s">
        <v>41</v>
      </c>
      <c r="B18" s="23" t="s">
        <v>42</v>
      </c>
      <c r="C18" s="24" t="s">
        <v>22</v>
      </c>
      <c r="D18" s="25">
        <f>D64+D141+D235+D314+D363+D433</f>
        <v>127</v>
      </c>
      <c r="E18" s="25">
        <f>E64+E141+E235+E314+E363+E433</f>
        <v>293769.63</v>
      </c>
      <c r="F18" s="25"/>
      <c r="G18" s="25"/>
      <c r="H18" s="25"/>
      <c r="I18" s="25"/>
      <c r="J18" s="25"/>
      <c r="K18" s="25">
        <f>K64+K141+K235+K314+K363+K433</f>
        <v>63892.630000000005</v>
      </c>
      <c r="L18" s="25">
        <f>L64+L141+L235+L314+L363+L433</f>
        <v>53319</v>
      </c>
      <c r="M18" s="25">
        <f>M64+M141+M235+M314+M363+M433</f>
        <v>51012</v>
      </c>
      <c r="N18" s="25">
        <f>N64+N141+N235+N314+N363+N433</f>
        <v>49381</v>
      </c>
      <c r="O18" s="25">
        <f>O64+O141+O235+O314+O363+O433</f>
        <v>76165</v>
      </c>
      <c r="P18" s="24" t="b">
        <f t="shared" si="0"/>
        <v>1</v>
      </c>
      <c r="Q18" s="24"/>
      <c r="R18" s="24"/>
      <c r="S18" s="24"/>
      <c r="T18" s="23"/>
      <c r="U18" s="24"/>
    </row>
    <row r="19" spans="1:28" s="21" customFormat="1">
      <c r="A19" s="22" t="s">
        <v>43</v>
      </c>
      <c r="B19" s="23" t="s">
        <v>44</v>
      </c>
      <c r="C19" s="24" t="s">
        <v>27</v>
      </c>
      <c r="D19" s="25">
        <f>D65+D142+D237+D317+D371+D434</f>
        <v>652.16</v>
      </c>
      <c r="E19" s="25">
        <f>E65+E142+E237+E317+E371+E434</f>
        <v>206195.06</v>
      </c>
      <c r="F19" s="25"/>
      <c r="G19" s="25"/>
      <c r="H19" s="25"/>
      <c r="I19" s="25"/>
      <c r="J19" s="25"/>
      <c r="K19" s="25">
        <f>K65+K142+K237+K317+K371+K434</f>
        <v>17781.559999999998</v>
      </c>
      <c r="L19" s="25">
        <f>L65+L142+L237+L317+L371+L434</f>
        <v>45925.5</v>
      </c>
      <c r="M19" s="25">
        <f>M65+M142+M237+M317+M371+M434</f>
        <v>43420</v>
      </c>
      <c r="N19" s="25">
        <f>N65+N142+N237+N317+N371+N434</f>
        <v>58854</v>
      </c>
      <c r="O19" s="25">
        <f>O65+O142+O237+O317+O371+O434</f>
        <v>40214</v>
      </c>
      <c r="P19" s="24" t="b">
        <f t="shared" si="0"/>
        <v>1</v>
      </c>
      <c r="Q19" s="24"/>
      <c r="R19" s="24"/>
      <c r="S19" s="24"/>
      <c r="T19" s="23"/>
      <c r="U19" s="24"/>
    </row>
    <row r="20" spans="1:28" s="21" customFormat="1" ht="31.5">
      <c r="A20" s="18">
        <v>5</v>
      </c>
      <c r="B20" s="17" t="s">
        <v>45</v>
      </c>
      <c r="C20" s="24" t="s">
        <v>22</v>
      </c>
      <c r="D20" s="25">
        <f>D66+D143+D239+D318+D372+D435</f>
        <v>225</v>
      </c>
      <c r="E20" s="25">
        <f>E66+E143+E239+E318+E372+E435</f>
        <v>106244.6</v>
      </c>
      <c r="F20" s="25"/>
      <c r="G20" s="25"/>
      <c r="H20" s="25"/>
      <c r="I20" s="25"/>
      <c r="J20" s="25"/>
      <c r="K20" s="19">
        <f>K66+K143+K239+K318+K372+K435</f>
        <v>58244.6</v>
      </c>
      <c r="L20" s="19">
        <f>L66+L143+L239+L318+L372+L435</f>
        <v>12000</v>
      </c>
      <c r="M20" s="19">
        <f>M66+M143+M239+M318+M372+M435</f>
        <v>12000</v>
      </c>
      <c r="N20" s="19">
        <f>N66+N143+N239+N318+N372+N435</f>
        <v>12000</v>
      </c>
      <c r="O20" s="19">
        <f>O66+O143+O239+O318+O372+O435</f>
        <v>12000</v>
      </c>
      <c r="P20" s="24" t="b">
        <f t="shared" si="0"/>
        <v>1</v>
      </c>
      <c r="Q20" s="24"/>
      <c r="R20" s="24"/>
      <c r="S20" s="24"/>
      <c r="T20" s="23"/>
      <c r="U20" s="24"/>
      <c r="V20" s="20"/>
      <c r="W20" s="20"/>
      <c r="X20" s="20"/>
      <c r="Y20" s="20"/>
      <c r="Z20" s="20"/>
      <c r="AA20" s="20"/>
      <c r="AB20" s="20"/>
    </row>
    <row r="21" spans="1:28" s="21" customFormat="1" ht="31.5">
      <c r="A21" s="18">
        <v>6</v>
      </c>
      <c r="B21" s="17" t="s">
        <v>46</v>
      </c>
      <c r="C21" s="12" t="s">
        <v>22</v>
      </c>
      <c r="D21" s="19">
        <f>D67+D144+D240+D319+D373+D436+D459</f>
        <v>37</v>
      </c>
      <c r="E21" s="19">
        <f>E67+E144+E240+E319+E373+E436</f>
        <v>147468</v>
      </c>
      <c r="F21" s="19"/>
      <c r="G21" s="19"/>
      <c r="H21" s="19"/>
      <c r="I21" s="19"/>
      <c r="J21" s="19"/>
      <c r="K21" s="19">
        <f>K67+K144+K240+K319+K373+K436+K459</f>
        <v>17113</v>
      </c>
      <c r="L21" s="19">
        <f>L67+L144+L240+L319+L373+L436+L459</f>
        <v>21620</v>
      </c>
      <c r="M21" s="19">
        <f>M67+M144+M240+M319+M373+M436+M459</f>
        <v>35253</v>
      </c>
      <c r="N21" s="19">
        <f>N67+N144+N240+N319+N373+N436+N459</f>
        <v>47099</v>
      </c>
      <c r="O21" s="19">
        <f>O67+O144+O240+O319+O373+O436+O459</f>
        <v>26383</v>
      </c>
      <c r="P21" s="12" t="b">
        <f t="shared" si="0"/>
        <v>1</v>
      </c>
      <c r="Q21" s="24"/>
      <c r="R21" s="24"/>
      <c r="S21" s="24"/>
      <c r="T21" s="23"/>
      <c r="U21" s="24"/>
      <c r="V21" s="20"/>
      <c r="W21" s="20"/>
      <c r="X21" s="20"/>
      <c r="Y21" s="20"/>
      <c r="Z21" s="20"/>
      <c r="AA21" s="20"/>
      <c r="AB21" s="20"/>
    </row>
    <row r="22" spans="1:28" s="21" customFormat="1">
      <c r="A22" s="18">
        <v>7</v>
      </c>
      <c r="B22" s="17" t="s">
        <v>47</v>
      </c>
      <c r="C22" s="24" t="s">
        <v>22</v>
      </c>
      <c r="D22" s="25">
        <f>D68+D145+D241+D374+D320+D437+D460</f>
        <v>1885</v>
      </c>
      <c r="E22" s="25">
        <f>E68+E145+E241+E374+E320+E437+E460</f>
        <v>15110</v>
      </c>
      <c r="F22" s="25"/>
      <c r="G22" s="25"/>
      <c r="H22" s="25"/>
      <c r="I22" s="25"/>
      <c r="J22" s="25"/>
      <c r="K22" s="25">
        <f>K68+K145+K241+K320+K374+K437+K460</f>
        <v>2236</v>
      </c>
      <c r="L22" s="25">
        <f>L68+L145+L241+L374+L320+L437+L460</f>
        <v>3196</v>
      </c>
      <c r="M22" s="25">
        <f>M68+M145+M241+M374+M320+M437+M460</f>
        <v>3216</v>
      </c>
      <c r="N22" s="25">
        <f>N68+N145+N241+N374+N320+N437+N460</f>
        <v>3226</v>
      </c>
      <c r="O22" s="25">
        <f>O68+O145+O241+O374+O320+O437+O460</f>
        <v>3236</v>
      </c>
      <c r="P22" s="24" t="b">
        <f t="shared" si="0"/>
        <v>1</v>
      </c>
      <c r="Q22" s="24"/>
      <c r="R22" s="24"/>
      <c r="S22" s="24"/>
      <c r="T22" s="23"/>
      <c r="U22" s="24"/>
      <c r="V22" s="20"/>
      <c r="W22" s="20"/>
      <c r="X22" s="20"/>
      <c r="Y22" s="20"/>
      <c r="Z22" s="20"/>
      <c r="AA22" s="20"/>
      <c r="AB22" s="20"/>
    </row>
    <row r="23" spans="1:28" s="21" customFormat="1">
      <c r="A23" s="18">
        <v>8</v>
      </c>
      <c r="B23" s="17" t="s">
        <v>48</v>
      </c>
      <c r="C23" s="24" t="s">
        <v>22</v>
      </c>
      <c r="D23" s="25">
        <f t="shared" ref="D23:E26" si="3">D69+D146+D242+D321+D375+D438+D461</f>
        <v>0</v>
      </c>
      <c r="E23" s="25">
        <f t="shared" si="3"/>
        <v>0</v>
      </c>
      <c r="F23" s="25"/>
      <c r="G23" s="25"/>
      <c r="H23" s="25"/>
      <c r="I23" s="25"/>
      <c r="J23" s="25"/>
      <c r="K23" s="25">
        <f>K69+K146+K242+K321+K375+K438+K461</f>
        <v>0</v>
      </c>
      <c r="L23" s="25">
        <f t="shared" ref="L23:O26" si="4">L69+L146+L242+L321+L375+L438+L461</f>
        <v>0</v>
      </c>
      <c r="M23" s="25">
        <f t="shared" si="4"/>
        <v>0</v>
      </c>
      <c r="N23" s="25">
        <f t="shared" si="4"/>
        <v>0</v>
      </c>
      <c r="O23" s="25">
        <f t="shared" si="4"/>
        <v>0</v>
      </c>
      <c r="P23" s="24" t="b">
        <f t="shared" si="0"/>
        <v>1</v>
      </c>
      <c r="Q23" s="24"/>
      <c r="R23" s="24"/>
      <c r="S23" s="24"/>
      <c r="T23" s="23"/>
      <c r="U23" s="24"/>
      <c r="V23" s="20"/>
      <c r="W23" s="20"/>
      <c r="X23" s="20"/>
      <c r="Y23" s="20"/>
      <c r="Z23" s="20"/>
      <c r="AA23" s="20"/>
      <c r="AB23" s="20"/>
    </row>
    <row r="24" spans="1:28" s="21" customFormat="1">
      <c r="A24" s="18">
        <v>9</v>
      </c>
      <c r="B24" s="17" t="s">
        <v>49</v>
      </c>
      <c r="C24" s="24" t="s">
        <v>22</v>
      </c>
      <c r="D24" s="25">
        <f t="shared" si="3"/>
        <v>175</v>
      </c>
      <c r="E24" s="25">
        <f t="shared" si="3"/>
        <v>134495</v>
      </c>
      <c r="F24" s="25"/>
      <c r="G24" s="25"/>
      <c r="H24" s="25"/>
      <c r="I24" s="25"/>
      <c r="J24" s="25"/>
      <c r="K24" s="25">
        <f>K70+K147+K243+K322+K376+K439+K462</f>
        <v>20410</v>
      </c>
      <c r="L24" s="25">
        <f t="shared" si="4"/>
        <v>26593</v>
      </c>
      <c r="M24" s="25">
        <f t="shared" si="4"/>
        <v>21621</v>
      </c>
      <c r="N24" s="25">
        <f t="shared" si="4"/>
        <v>26238</v>
      </c>
      <c r="O24" s="25">
        <f t="shared" si="4"/>
        <v>39633</v>
      </c>
      <c r="P24" s="24" t="b">
        <f t="shared" si="0"/>
        <v>1</v>
      </c>
      <c r="Q24" s="24"/>
      <c r="R24" s="24"/>
      <c r="S24" s="24"/>
      <c r="T24" s="23"/>
      <c r="U24" s="24"/>
      <c r="V24" s="20"/>
      <c r="W24" s="20"/>
      <c r="X24" s="20"/>
      <c r="Y24" s="20"/>
      <c r="Z24" s="20"/>
      <c r="AA24" s="20"/>
      <c r="AB24" s="20"/>
    </row>
    <row r="25" spans="1:28" s="21" customFormat="1">
      <c r="A25" s="18">
        <v>10</v>
      </c>
      <c r="B25" s="17" t="s">
        <v>50</v>
      </c>
      <c r="C25" s="24" t="s">
        <v>22</v>
      </c>
      <c r="D25" s="25">
        <f t="shared" si="3"/>
        <v>622</v>
      </c>
      <c r="E25" s="25">
        <f t="shared" si="3"/>
        <v>34389</v>
      </c>
      <c r="F25" s="25"/>
      <c r="G25" s="25"/>
      <c r="H25" s="25"/>
      <c r="I25" s="25"/>
      <c r="J25" s="25"/>
      <c r="K25" s="25">
        <f>K71+K148+K244+K323+K377+K440+K463</f>
        <v>4048</v>
      </c>
      <c r="L25" s="25">
        <f t="shared" si="4"/>
        <v>7467</v>
      </c>
      <c r="M25" s="25">
        <f t="shared" si="4"/>
        <v>6552</v>
      </c>
      <c r="N25" s="25">
        <f t="shared" si="4"/>
        <v>7303</v>
      </c>
      <c r="O25" s="25">
        <f t="shared" si="4"/>
        <v>9019</v>
      </c>
      <c r="P25" s="24" t="b">
        <f t="shared" si="0"/>
        <v>1</v>
      </c>
      <c r="Q25" s="24"/>
      <c r="R25" s="24"/>
      <c r="S25" s="24"/>
      <c r="T25" s="23"/>
      <c r="U25" s="24"/>
      <c r="V25" s="20"/>
      <c r="W25" s="20"/>
      <c r="X25" s="20"/>
      <c r="Y25" s="20"/>
      <c r="Z25" s="20"/>
      <c r="AA25" s="20"/>
      <c r="AB25" s="20"/>
    </row>
    <row r="26" spans="1:28" s="21" customFormat="1" ht="42.75" customHeight="1" thickBot="1">
      <c r="A26" s="26"/>
      <c r="B26" s="27" t="s">
        <v>4</v>
      </c>
      <c r="C26" s="28"/>
      <c r="D26" s="29">
        <f t="shared" si="3"/>
        <v>3450.5099999999998</v>
      </c>
      <c r="E26" s="29">
        <f t="shared" si="3"/>
        <v>2917872.3099999996</v>
      </c>
      <c r="F26" s="30"/>
      <c r="G26" s="30"/>
      <c r="H26" s="30"/>
      <c r="I26" s="30"/>
      <c r="J26" s="30"/>
      <c r="K26" s="31">
        <f>K72+K149+K245+K324+K378+K441+K464</f>
        <v>567088.15</v>
      </c>
      <c r="L26" s="31">
        <f t="shared" si="4"/>
        <v>506525.26</v>
      </c>
      <c r="M26" s="31">
        <f t="shared" si="4"/>
        <v>557177.9</v>
      </c>
      <c r="N26" s="31">
        <f t="shared" si="4"/>
        <v>612896</v>
      </c>
      <c r="O26" s="31">
        <f t="shared" si="4"/>
        <v>674185</v>
      </c>
      <c r="P26" s="32" t="b">
        <f t="shared" si="0"/>
        <v>1</v>
      </c>
      <c r="Q26" s="33"/>
      <c r="R26" s="33"/>
      <c r="S26" s="33"/>
      <c r="T26" s="34"/>
      <c r="U26" s="33"/>
    </row>
    <row r="27" spans="1:28" s="38" customFormat="1" ht="18.75">
      <c r="A27" s="36" t="s">
        <v>51</v>
      </c>
      <c r="B27" s="37"/>
      <c r="C27" s="37"/>
      <c r="D27" s="37"/>
      <c r="E27" s="37"/>
      <c r="F27" s="37"/>
      <c r="G27" s="37"/>
      <c r="H27" s="37"/>
      <c r="I27" s="37"/>
      <c r="J27" s="37"/>
      <c r="K27" s="37"/>
      <c r="L27" s="37"/>
      <c r="M27" s="37"/>
      <c r="N27" s="37"/>
      <c r="O27" s="37"/>
      <c r="P27" s="37"/>
      <c r="Q27" s="37"/>
      <c r="R27" s="37"/>
      <c r="S27" s="37"/>
      <c r="T27" s="37"/>
      <c r="U27" s="37"/>
    </row>
    <row r="28" spans="1:28">
      <c r="A28" s="39" t="s">
        <v>1</v>
      </c>
      <c r="B28" s="11" t="s">
        <v>2</v>
      </c>
      <c r="C28" s="11" t="s">
        <v>3</v>
      </c>
      <c r="D28" s="11" t="s">
        <v>4</v>
      </c>
      <c r="E28" s="11"/>
      <c r="F28" s="11" t="s">
        <v>5</v>
      </c>
      <c r="G28" s="11" t="s">
        <v>6</v>
      </c>
      <c r="H28" s="11"/>
      <c r="I28" s="11" t="s">
        <v>7</v>
      </c>
      <c r="J28" s="11"/>
      <c r="K28" s="40" t="s">
        <v>8</v>
      </c>
      <c r="L28" s="41"/>
      <c r="M28" s="41"/>
      <c r="N28" s="41"/>
      <c r="O28" s="42"/>
      <c r="P28" s="43" t="s">
        <v>9</v>
      </c>
      <c r="Q28" s="11" t="s">
        <v>10</v>
      </c>
      <c r="R28" s="11" t="s">
        <v>11</v>
      </c>
      <c r="S28" s="11" t="s">
        <v>12</v>
      </c>
      <c r="T28" s="44" t="s">
        <v>13</v>
      </c>
      <c r="U28" s="11" t="s">
        <v>14</v>
      </c>
    </row>
    <row r="29" spans="1:28" ht="63">
      <c r="A29" s="39"/>
      <c r="B29" s="11"/>
      <c r="C29" s="11"/>
      <c r="D29" s="12" t="s">
        <v>15</v>
      </c>
      <c r="E29" s="12" t="s">
        <v>16</v>
      </c>
      <c r="F29" s="11"/>
      <c r="G29" s="12" t="s">
        <v>17</v>
      </c>
      <c r="H29" s="12" t="s">
        <v>18</v>
      </c>
      <c r="I29" s="12" t="s">
        <v>17</v>
      </c>
      <c r="J29" s="12" t="s">
        <v>18</v>
      </c>
      <c r="K29" s="12">
        <v>2021</v>
      </c>
      <c r="L29" s="12">
        <v>2022</v>
      </c>
      <c r="M29" s="12">
        <v>2023</v>
      </c>
      <c r="N29" s="12">
        <v>2024</v>
      </c>
      <c r="O29" s="12">
        <v>2025</v>
      </c>
      <c r="P29" s="13"/>
      <c r="Q29" s="11"/>
      <c r="R29" s="11"/>
      <c r="S29" s="11"/>
      <c r="T29" s="44"/>
      <c r="U29" s="11"/>
    </row>
    <row r="30" spans="1:28">
      <c r="A30" s="15">
        <v>1</v>
      </c>
      <c r="B30" s="12">
        <v>2</v>
      </c>
      <c r="C30" s="12">
        <v>3</v>
      </c>
      <c r="D30" s="12">
        <v>4</v>
      </c>
      <c r="E30" s="15">
        <v>5</v>
      </c>
      <c r="F30" s="12">
        <v>6</v>
      </c>
      <c r="G30" s="12">
        <v>7</v>
      </c>
      <c r="H30" s="12">
        <v>8</v>
      </c>
      <c r="I30" s="15">
        <v>9</v>
      </c>
      <c r="J30" s="12">
        <v>10</v>
      </c>
      <c r="K30" s="12">
        <v>11</v>
      </c>
      <c r="L30" s="12">
        <v>12</v>
      </c>
      <c r="M30" s="15">
        <v>13</v>
      </c>
      <c r="N30" s="12">
        <v>14</v>
      </c>
      <c r="O30" s="12">
        <v>15</v>
      </c>
      <c r="P30" s="16"/>
      <c r="Q30" s="12">
        <v>16</v>
      </c>
      <c r="R30" s="12">
        <v>17</v>
      </c>
      <c r="S30" s="12">
        <v>18</v>
      </c>
      <c r="T30" s="12">
        <v>19</v>
      </c>
      <c r="U30" s="12">
        <v>20</v>
      </c>
    </row>
    <row r="31" spans="1:28">
      <c r="A31" s="12">
        <v>1</v>
      </c>
      <c r="B31" s="17" t="s">
        <v>52</v>
      </c>
      <c r="C31" s="45"/>
      <c r="D31" s="46">
        <f>D32+D33+D34+D35</f>
        <v>0</v>
      </c>
      <c r="E31" s="46">
        <f t="shared" ref="E31:O31" si="5">E32+E33+E34+E35</f>
        <v>0</v>
      </c>
      <c r="F31" s="46">
        <f t="shared" si="5"/>
        <v>0</v>
      </c>
      <c r="G31" s="46">
        <f t="shared" si="5"/>
        <v>0</v>
      </c>
      <c r="H31" s="46">
        <f t="shared" si="5"/>
        <v>0</v>
      </c>
      <c r="I31" s="46">
        <f t="shared" si="5"/>
        <v>0</v>
      </c>
      <c r="J31" s="46">
        <f t="shared" si="5"/>
        <v>0</v>
      </c>
      <c r="K31" s="46">
        <f t="shared" si="5"/>
        <v>0</v>
      </c>
      <c r="L31" s="46">
        <f t="shared" si="5"/>
        <v>0</v>
      </c>
      <c r="M31" s="46">
        <f t="shared" si="5"/>
        <v>0</v>
      </c>
      <c r="N31" s="46">
        <f t="shared" si="5"/>
        <v>0</v>
      </c>
      <c r="O31" s="46">
        <f t="shared" si="5"/>
        <v>0</v>
      </c>
      <c r="P31" s="19" t="b">
        <f>E31=K31+L31+M31+N31+O31</f>
        <v>1</v>
      </c>
      <c r="Q31" s="24"/>
      <c r="R31" s="24"/>
      <c r="S31" s="24"/>
      <c r="T31" s="23"/>
      <c r="U31" s="24"/>
    </row>
    <row r="32" spans="1:28">
      <c r="A32" s="24" t="s">
        <v>20</v>
      </c>
      <c r="B32" s="23" t="s">
        <v>21</v>
      </c>
      <c r="C32" s="47" t="s">
        <v>22</v>
      </c>
      <c r="D32" s="47">
        <v>0</v>
      </c>
      <c r="E32" s="47">
        <v>0</v>
      </c>
      <c r="F32" s="47"/>
      <c r="G32" s="47"/>
      <c r="H32" s="47"/>
      <c r="I32" s="47"/>
      <c r="J32" s="47"/>
      <c r="K32" s="48"/>
      <c r="L32" s="48"/>
      <c r="M32" s="48"/>
      <c r="N32" s="48"/>
      <c r="O32" s="48"/>
      <c r="P32" s="25" t="b">
        <f t="shared" ref="P32:P72" si="6">E32=K32+L32+M32+N32+O32</f>
        <v>1</v>
      </c>
      <c r="Q32" s="24"/>
      <c r="R32" s="24"/>
      <c r="S32" s="24"/>
      <c r="T32" s="23"/>
      <c r="U32" s="24"/>
    </row>
    <row r="33" spans="1:21">
      <c r="A33" s="24" t="s">
        <v>23</v>
      </c>
      <c r="B33" s="23" t="s">
        <v>24</v>
      </c>
      <c r="C33" s="47" t="s">
        <v>22</v>
      </c>
      <c r="D33" s="47">
        <v>0</v>
      </c>
      <c r="E33" s="47">
        <v>0</v>
      </c>
      <c r="F33" s="47"/>
      <c r="G33" s="47"/>
      <c r="H33" s="47"/>
      <c r="I33" s="47"/>
      <c r="J33" s="47"/>
      <c r="K33" s="48">
        <v>0</v>
      </c>
      <c r="L33" s="48">
        <v>0</v>
      </c>
      <c r="M33" s="48">
        <v>0</v>
      </c>
      <c r="N33" s="48">
        <v>0</v>
      </c>
      <c r="O33" s="48">
        <v>0</v>
      </c>
      <c r="P33" s="25" t="b">
        <f t="shared" si="6"/>
        <v>1</v>
      </c>
      <c r="Q33" s="24"/>
      <c r="R33" s="24"/>
      <c r="S33" s="24"/>
      <c r="T33" s="23"/>
      <c r="U33" s="24"/>
    </row>
    <row r="34" spans="1:21">
      <c r="A34" s="24" t="s">
        <v>25</v>
      </c>
      <c r="B34" s="23" t="s">
        <v>26</v>
      </c>
      <c r="C34" s="47" t="s">
        <v>27</v>
      </c>
      <c r="D34" s="47">
        <v>0</v>
      </c>
      <c r="E34" s="47">
        <v>0</v>
      </c>
      <c r="F34" s="47"/>
      <c r="G34" s="47"/>
      <c r="H34" s="47"/>
      <c r="I34" s="47"/>
      <c r="J34" s="47"/>
      <c r="K34" s="48">
        <v>0</v>
      </c>
      <c r="L34" s="48">
        <v>0</v>
      </c>
      <c r="M34" s="48">
        <v>0</v>
      </c>
      <c r="N34" s="48">
        <v>0</v>
      </c>
      <c r="O34" s="48">
        <v>0</v>
      </c>
      <c r="P34" s="25" t="b">
        <f t="shared" si="6"/>
        <v>1</v>
      </c>
      <c r="Q34" s="24"/>
      <c r="R34" s="24"/>
      <c r="S34" s="24"/>
      <c r="T34" s="23"/>
      <c r="U34" s="24"/>
    </row>
    <row r="35" spans="1:21">
      <c r="A35" s="24" t="s">
        <v>28</v>
      </c>
      <c r="B35" s="23" t="s">
        <v>53</v>
      </c>
      <c r="C35" s="47" t="s">
        <v>27</v>
      </c>
      <c r="D35" s="47">
        <v>0</v>
      </c>
      <c r="E35" s="47">
        <v>0</v>
      </c>
      <c r="F35" s="47"/>
      <c r="G35" s="47"/>
      <c r="H35" s="47"/>
      <c r="I35" s="47"/>
      <c r="J35" s="47"/>
      <c r="K35" s="48">
        <v>0</v>
      </c>
      <c r="L35" s="48">
        <v>0</v>
      </c>
      <c r="M35" s="48">
        <v>0</v>
      </c>
      <c r="N35" s="48">
        <v>0</v>
      </c>
      <c r="O35" s="48">
        <v>0</v>
      </c>
      <c r="P35" s="25" t="b">
        <f t="shared" si="6"/>
        <v>1</v>
      </c>
      <c r="Q35" s="24"/>
      <c r="R35" s="24"/>
      <c r="S35" s="24"/>
      <c r="T35" s="23"/>
      <c r="U35" s="24"/>
    </row>
    <row r="36" spans="1:21" ht="31.5">
      <c r="A36" s="12" t="s">
        <v>30</v>
      </c>
      <c r="B36" s="17" t="s">
        <v>31</v>
      </c>
      <c r="C36" s="45"/>
      <c r="D36" s="45">
        <f>D37+D56+D59+D60</f>
        <v>21.2</v>
      </c>
      <c r="E36" s="46">
        <f>E37+E56+E59+E60</f>
        <v>231715.20000000001</v>
      </c>
      <c r="F36" s="45"/>
      <c r="G36" s="45"/>
      <c r="H36" s="45"/>
      <c r="I36" s="45"/>
      <c r="J36" s="45"/>
      <c r="K36" s="46">
        <f>K37+K56+K59+K60</f>
        <v>58327.199999999997</v>
      </c>
      <c r="L36" s="46">
        <f>L37+L56+L59+L60</f>
        <v>50857</v>
      </c>
      <c r="M36" s="46">
        <f>M37+M56+M59+M60</f>
        <v>47046</v>
      </c>
      <c r="N36" s="46">
        <f>N37+N56+N59+N60</f>
        <v>53185</v>
      </c>
      <c r="O36" s="46">
        <f>O37+O56+O59+O60</f>
        <v>22300</v>
      </c>
      <c r="P36" s="19" t="b">
        <f t="shared" si="6"/>
        <v>1</v>
      </c>
      <c r="Q36" s="24"/>
      <c r="R36" s="24"/>
      <c r="S36" s="24"/>
      <c r="T36" s="23"/>
      <c r="U36" s="24"/>
    </row>
    <row r="37" spans="1:21">
      <c r="A37" s="24" t="s">
        <v>32</v>
      </c>
      <c r="B37" s="23" t="s">
        <v>21</v>
      </c>
      <c r="C37" s="47" t="s">
        <v>22</v>
      </c>
      <c r="D37" s="25">
        <f>SUM(D38:D55)</f>
        <v>13</v>
      </c>
      <c r="E37" s="25">
        <f>SUM(E38:E55)</f>
        <v>207575.2</v>
      </c>
      <c r="F37" s="47"/>
      <c r="G37" s="47"/>
      <c r="H37" s="47"/>
      <c r="I37" s="47"/>
      <c r="J37" s="47"/>
      <c r="K37" s="25">
        <f>SUM(K38:K55)</f>
        <v>41187.199999999997</v>
      </c>
      <c r="L37" s="25">
        <f>SUM(L38:L55)</f>
        <v>48357</v>
      </c>
      <c r="M37" s="25">
        <f>SUM(M38:M55)</f>
        <v>42546</v>
      </c>
      <c r="N37" s="25">
        <f>SUM(N38:N55)</f>
        <v>53185</v>
      </c>
      <c r="O37" s="25">
        <f>SUM(O38:O55)</f>
        <v>22300</v>
      </c>
      <c r="P37" s="25" t="b">
        <f t="shared" si="6"/>
        <v>1</v>
      </c>
      <c r="Q37" s="24"/>
      <c r="R37" s="24"/>
      <c r="S37" s="24"/>
      <c r="T37" s="23"/>
      <c r="U37" s="24"/>
    </row>
    <row r="38" spans="1:21" ht="63">
      <c r="A38" s="49" t="s">
        <v>54</v>
      </c>
      <c r="B38" s="50" t="s">
        <v>55</v>
      </c>
      <c r="C38" s="51" t="s">
        <v>22</v>
      </c>
      <c r="D38" s="51">
        <v>1</v>
      </c>
      <c r="E38" s="25">
        <f>K38+L38+M38+N38+O38</f>
        <v>1576</v>
      </c>
      <c r="F38" s="47" t="s">
        <v>56</v>
      </c>
      <c r="G38" s="47" t="s">
        <v>57</v>
      </c>
      <c r="H38" s="47" t="s">
        <v>58</v>
      </c>
      <c r="I38" s="47" t="s">
        <v>59</v>
      </c>
      <c r="J38" s="47" t="s">
        <v>60</v>
      </c>
      <c r="K38" s="48">
        <v>0</v>
      </c>
      <c r="L38" s="48">
        <v>0</v>
      </c>
      <c r="M38" s="46">
        <v>1576</v>
      </c>
      <c r="N38" s="48">
        <v>0</v>
      </c>
      <c r="O38" s="48">
        <v>0</v>
      </c>
      <c r="P38" s="25" t="b">
        <f t="shared" si="6"/>
        <v>1</v>
      </c>
      <c r="Q38" s="24">
        <v>0</v>
      </c>
      <c r="R38" s="24" t="s">
        <v>61</v>
      </c>
      <c r="S38" s="24" t="s">
        <v>62</v>
      </c>
      <c r="T38" s="23" t="s">
        <v>63</v>
      </c>
      <c r="U38" s="24" t="s">
        <v>64</v>
      </c>
    </row>
    <row r="39" spans="1:21" ht="63">
      <c r="A39" s="49"/>
      <c r="B39" s="50" t="s">
        <v>65</v>
      </c>
      <c r="C39" s="51"/>
      <c r="D39" s="51"/>
      <c r="E39" s="25">
        <f t="shared" ref="E39:E58" si="7">K39+L39+M39+N39+O39</f>
        <v>8185</v>
      </c>
      <c r="F39" s="47" t="s">
        <v>56</v>
      </c>
      <c r="G39" s="47" t="s">
        <v>57</v>
      </c>
      <c r="H39" s="47" t="s">
        <v>58</v>
      </c>
      <c r="I39" s="47" t="s">
        <v>66</v>
      </c>
      <c r="J39" s="47" t="s">
        <v>67</v>
      </c>
      <c r="K39" s="48">
        <v>0</v>
      </c>
      <c r="L39" s="48">
        <v>0</v>
      </c>
      <c r="M39" s="46"/>
      <c r="N39" s="48">
        <v>8185</v>
      </c>
      <c r="O39" s="48">
        <v>0</v>
      </c>
      <c r="P39" s="25" t="b">
        <f t="shared" si="6"/>
        <v>1</v>
      </c>
      <c r="Q39" s="24">
        <v>0</v>
      </c>
      <c r="R39" s="24" t="s">
        <v>61</v>
      </c>
      <c r="S39" s="24" t="s">
        <v>62</v>
      </c>
      <c r="T39" s="23" t="s">
        <v>63</v>
      </c>
      <c r="U39" s="24" t="s">
        <v>68</v>
      </c>
    </row>
    <row r="40" spans="1:21" ht="63">
      <c r="A40" s="49"/>
      <c r="B40" s="50" t="s">
        <v>69</v>
      </c>
      <c r="C40" s="51"/>
      <c r="D40" s="51"/>
      <c r="E40" s="25">
        <f t="shared" si="7"/>
        <v>15706</v>
      </c>
      <c r="F40" s="47" t="s">
        <v>56</v>
      </c>
      <c r="G40" s="47" t="s">
        <v>70</v>
      </c>
      <c r="H40" s="47" t="s">
        <v>71</v>
      </c>
      <c r="I40" s="47" t="s">
        <v>72</v>
      </c>
      <c r="J40" s="47" t="s">
        <v>73</v>
      </c>
      <c r="K40" s="48">
        <v>15706</v>
      </c>
      <c r="L40" s="48">
        <v>0</v>
      </c>
      <c r="M40" s="48">
        <v>0</v>
      </c>
      <c r="N40" s="47">
        <v>0</v>
      </c>
      <c r="O40" s="48">
        <v>0</v>
      </c>
      <c r="P40" s="25" t="b">
        <f t="shared" si="6"/>
        <v>1</v>
      </c>
      <c r="Q40" s="24">
        <v>0</v>
      </c>
      <c r="R40" s="24" t="s">
        <v>61</v>
      </c>
      <c r="S40" s="24" t="s">
        <v>62</v>
      </c>
      <c r="T40" s="23" t="s">
        <v>63</v>
      </c>
      <c r="U40" s="24" t="s">
        <v>74</v>
      </c>
    </row>
    <row r="41" spans="1:21" ht="63">
      <c r="A41" s="52" t="s">
        <v>75</v>
      </c>
      <c r="B41" s="50" t="s">
        <v>76</v>
      </c>
      <c r="C41" s="47" t="s">
        <v>22</v>
      </c>
      <c r="D41" s="47">
        <v>1</v>
      </c>
      <c r="E41" s="25">
        <f t="shared" si="7"/>
        <v>20632</v>
      </c>
      <c r="F41" s="47" t="s">
        <v>56</v>
      </c>
      <c r="G41" s="47" t="s">
        <v>77</v>
      </c>
      <c r="H41" s="47" t="s">
        <v>78</v>
      </c>
      <c r="I41" s="47" t="s">
        <v>59</v>
      </c>
      <c r="J41" s="47" t="s">
        <v>60</v>
      </c>
      <c r="K41" s="48">
        <v>0</v>
      </c>
      <c r="L41" s="48">
        <v>0</v>
      </c>
      <c r="M41" s="46">
        <v>20632</v>
      </c>
      <c r="N41" s="48"/>
      <c r="O41" s="48">
        <v>0</v>
      </c>
      <c r="P41" s="25" t="b">
        <f t="shared" si="6"/>
        <v>1</v>
      </c>
      <c r="Q41" s="24">
        <v>0</v>
      </c>
      <c r="R41" s="24" t="s">
        <v>61</v>
      </c>
      <c r="S41" s="24" t="s">
        <v>62</v>
      </c>
      <c r="T41" s="23" t="s">
        <v>63</v>
      </c>
      <c r="U41" s="24" t="s">
        <v>79</v>
      </c>
    </row>
    <row r="42" spans="1:21" ht="63">
      <c r="A42" s="52" t="s">
        <v>80</v>
      </c>
      <c r="B42" s="50" t="s">
        <v>81</v>
      </c>
      <c r="C42" s="47" t="s">
        <v>22</v>
      </c>
      <c r="D42" s="47">
        <v>1</v>
      </c>
      <c r="E42" s="25">
        <f t="shared" si="7"/>
        <v>300</v>
      </c>
      <c r="F42" s="47" t="s">
        <v>82</v>
      </c>
      <c r="G42" s="47" t="s">
        <v>83</v>
      </c>
      <c r="H42" s="47" t="s">
        <v>84</v>
      </c>
      <c r="I42" s="47" t="s">
        <v>85</v>
      </c>
      <c r="J42" s="47" t="s">
        <v>86</v>
      </c>
      <c r="K42" s="48">
        <v>0</v>
      </c>
      <c r="L42" s="48">
        <v>0</v>
      </c>
      <c r="M42" s="48">
        <v>0</v>
      </c>
      <c r="N42" s="48">
        <v>0</v>
      </c>
      <c r="O42" s="48">
        <v>300</v>
      </c>
      <c r="P42" s="25" t="b">
        <f t="shared" si="6"/>
        <v>1</v>
      </c>
      <c r="Q42" s="24">
        <v>0</v>
      </c>
      <c r="R42" s="24" t="s">
        <v>61</v>
      </c>
      <c r="S42" s="24" t="s">
        <v>62</v>
      </c>
      <c r="T42" s="23" t="s">
        <v>63</v>
      </c>
      <c r="U42" s="24" t="s">
        <v>87</v>
      </c>
    </row>
    <row r="43" spans="1:21" ht="59.25" customHeight="1">
      <c r="A43" s="53" t="s">
        <v>88</v>
      </c>
      <c r="B43" s="50" t="s">
        <v>89</v>
      </c>
      <c r="C43" s="54" t="s">
        <v>22</v>
      </c>
      <c r="D43" s="54">
        <v>1</v>
      </c>
      <c r="E43" s="25">
        <f t="shared" si="7"/>
        <v>15628</v>
      </c>
      <c r="F43" s="47" t="s">
        <v>56</v>
      </c>
      <c r="G43" s="47" t="s">
        <v>90</v>
      </c>
      <c r="H43" s="47" t="s">
        <v>78</v>
      </c>
      <c r="I43" s="47" t="s">
        <v>91</v>
      </c>
      <c r="J43" s="47" t="s">
        <v>92</v>
      </c>
      <c r="K43" s="48">
        <v>0</v>
      </c>
      <c r="L43" s="46">
        <v>15628</v>
      </c>
      <c r="M43" s="48">
        <v>0</v>
      </c>
      <c r="N43" s="48">
        <v>0</v>
      </c>
      <c r="O43" s="48">
        <v>0</v>
      </c>
      <c r="P43" s="25" t="b">
        <f t="shared" si="6"/>
        <v>1</v>
      </c>
      <c r="Q43" s="24">
        <v>0</v>
      </c>
      <c r="R43" s="24" t="s">
        <v>61</v>
      </c>
      <c r="S43" s="24" t="s">
        <v>62</v>
      </c>
      <c r="T43" s="23" t="s">
        <v>63</v>
      </c>
      <c r="U43" s="24" t="s">
        <v>93</v>
      </c>
    </row>
    <row r="44" spans="1:21" ht="78.75">
      <c r="A44" s="55"/>
      <c r="B44" s="56" t="s">
        <v>94</v>
      </c>
      <c r="C44" s="57"/>
      <c r="D44" s="57"/>
      <c r="E44" s="25">
        <f t="shared" si="7"/>
        <v>1829</v>
      </c>
      <c r="F44" s="47" t="s">
        <v>56</v>
      </c>
      <c r="G44" s="47" t="s">
        <v>95</v>
      </c>
      <c r="H44" s="47" t="s">
        <v>96</v>
      </c>
      <c r="I44" s="47" t="s">
        <v>97</v>
      </c>
      <c r="J44" s="47" t="s">
        <v>98</v>
      </c>
      <c r="K44" s="48">
        <v>1829</v>
      </c>
      <c r="L44" s="48">
        <v>0</v>
      </c>
      <c r="M44" s="48">
        <v>0</v>
      </c>
      <c r="N44" s="48">
        <v>0</v>
      </c>
      <c r="O44" s="48">
        <v>0</v>
      </c>
      <c r="P44" s="25" t="b">
        <f t="shared" si="6"/>
        <v>1</v>
      </c>
      <c r="Q44" s="24">
        <v>0</v>
      </c>
      <c r="R44" s="24" t="s">
        <v>61</v>
      </c>
      <c r="S44" s="24" t="s">
        <v>62</v>
      </c>
      <c r="T44" s="23" t="s">
        <v>63</v>
      </c>
      <c r="U44" s="24" t="s">
        <v>99</v>
      </c>
    </row>
    <row r="45" spans="1:21" s="58" customFormat="1" ht="63">
      <c r="A45" s="52" t="s">
        <v>100</v>
      </c>
      <c r="B45" s="50" t="s">
        <v>101</v>
      </c>
      <c r="C45" s="47" t="s">
        <v>22</v>
      </c>
      <c r="D45" s="47">
        <v>1</v>
      </c>
      <c r="E45" s="25">
        <f t="shared" si="7"/>
        <v>1300</v>
      </c>
      <c r="F45" s="47" t="s">
        <v>82</v>
      </c>
      <c r="G45" s="47" t="s">
        <v>102</v>
      </c>
      <c r="H45" s="47" t="s">
        <v>103</v>
      </c>
      <c r="I45" s="47" t="s">
        <v>104</v>
      </c>
      <c r="J45" s="47" t="s">
        <v>67</v>
      </c>
      <c r="K45" s="48"/>
      <c r="L45" s="48"/>
      <c r="M45" s="48">
        <v>0</v>
      </c>
      <c r="N45" s="48">
        <v>1300</v>
      </c>
      <c r="O45" s="48">
        <v>0</v>
      </c>
      <c r="P45" s="25" t="b">
        <f t="shared" si="6"/>
        <v>1</v>
      </c>
      <c r="Q45" s="24">
        <v>0</v>
      </c>
      <c r="R45" s="24" t="s">
        <v>61</v>
      </c>
      <c r="S45" s="24" t="s">
        <v>62</v>
      </c>
      <c r="T45" s="23" t="s">
        <v>63</v>
      </c>
      <c r="U45" s="24" t="s">
        <v>105</v>
      </c>
    </row>
    <row r="46" spans="1:21" s="58" customFormat="1" ht="78.75">
      <c r="A46" s="53" t="s">
        <v>106</v>
      </c>
      <c r="B46" s="50" t="s">
        <v>107</v>
      </c>
      <c r="C46" s="54" t="s">
        <v>22</v>
      </c>
      <c r="D46" s="54">
        <v>1</v>
      </c>
      <c r="E46" s="59">
        <v>3538</v>
      </c>
      <c r="F46" s="47" t="s">
        <v>56</v>
      </c>
      <c r="G46" s="47" t="s">
        <v>95</v>
      </c>
      <c r="H46" s="47" t="s">
        <v>96</v>
      </c>
      <c r="I46" s="47" t="s">
        <v>91</v>
      </c>
      <c r="J46" s="47" t="s">
        <v>108</v>
      </c>
      <c r="K46" s="48"/>
      <c r="L46" s="46">
        <v>3538</v>
      </c>
      <c r="M46" s="48"/>
      <c r="N46" s="48"/>
      <c r="O46" s="48"/>
      <c r="P46" s="25" t="b">
        <f t="shared" si="6"/>
        <v>1</v>
      </c>
      <c r="Q46" s="24">
        <v>0</v>
      </c>
      <c r="R46" s="24" t="s">
        <v>61</v>
      </c>
      <c r="S46" s="24" t="s">
        <v>62</v>
      </c>
      <c r="T46" s="23" t="s">
        <v>63</v>
      </c>
      <c r="U46" s="24" t="s">
        <v>99</v>
      </c>
    </row>
    <row r="47" spans="1:21" ht="63">
      <c r="A47" s="55"/>
      <c r="B47" s="50" t="s">
        <v>109</v>
      </c>
      <c r="C47" s="57"/>
      <c r="D47" s="57"/>
      <c r="E47" s="25">
        <f t="shared" si="7"/>
        <v>870.2</v>
      </c>
      <c r="F47" s="47" t="s">
        <v>56</v>
      </c>
      <c r="G47" s="47" t="s">
        <v>90</v>
      </c>
      <c r="H47" s="47" t="s">
        <v>78</v>
      </c>
      <c r="I47" s="47" t="s">
        <v>97</v>
      </c>
      <c r="J47" s="47" t="s">
        <v>73</v>
      </c>
      <c r="K47" s="48">
        <v>870.2</v>
      </c>
      <c r="L47" s="48">
        <v>0</v>
      </c>
      <c r="M47" s="48"/>
      <c r="N47" s="48"/>
      <c r="O47" s="48"/>
      <c r="P47" s="25" t="b">
        <f t="shared" si="6"/>
        <v>1</v>
      </c>
      <c r="Q47" s="24">
        <v>0</v>
      </c>
      <c r="R47" s="24" t="s">
        <v>61</v>
      </c>
      <c r="S47" s="24" t="s">
        <v>62</v>
      </c>
      <c r="T47" s="23" t="s">
        <v>63</v>
      </c>
      <c r="U47" s="24" t="s">
        <v>105</v>
      </c>
    </row>
    <row r="48" spans="1:21" ht="63">
      <c r="A48" s="60" t="s">
        <v>110</v>
      </c>
      <c r="B48" s="50" t="s">
        <v>111</v>
      </c>
      <c r="C48" s="47" t="s">
        <v>22</v>
      </c>
      <c r="D48" s="47">
        <v>1</v>
      </c>
      <c r="E48" s="25">
        <f t="shared" si="7"/>
        <v>6076</v>
      </c>
      <c r="F48" s="47" t="s">
        <v>56</v>
      </c>
      <c r="G48" s="47" t="s">
        <v>90</v>
      </c>
      <c r="H48" s="47" t="s">
        <v>78</v>
      </c>
      <c r="I48" s="47" t="s">
        <v>97</v>
      </c>
      <c r="J48" s="47" t="s">
        <v>73</v>
      </c>
      <c r="K48" s="46">
        <v>6076</v>
      </c>
      <c r="L48" s="48">
        <v>0</v>
      </c>
      <c r="M48" s="48">
        <v>0</v>
      </c>
      <c r="N48" s="48">
        <v>0</v>
      </c>
      <c r="O48" s="48">
        <v>0</v>
      </c>
      <c r="P48" s="25" t="b">
        <f t="shared" si="6"/>
        <v>1</v>
      </c>
      <c r="Q48" s="24">
        <v>0</v>
      </c>
      <c r="R48" s="24" t="s">
        <v>61</v>
      </c>
      <c r="S48" s="24" t="s">
        <v>62</v>
      </c>
      <c r="T48" s="23" t="s">
        <v>63</v>
      </c>
      <c r="U48" s="24" t="s">
        <v>112</v>
      </c>
    </row>
    <row r="49" spans="1:21" ht="63">
      <c r="A49" s="60" t="s">
        <v>113</v>
      </c>
      <c r="B49" s="50" t="s">
        <v>114</v>
      </c>
      <c r="C49" s="47" t="s">
        <v>22</v>
      </c>
      <c r="D49" s="47">
        <v>1</v>
      </c>
      <c r="E49" s="25">
        <f t="shared" si="7"/>
        <v>28061</v>
      </c>
      <c r="F49" s="47" t="s">
        <v>56</v>
      </c>
      <c r="G49" s="47" t="s">
        <v>90</v>
      </c>
      <c r="H49" s="47" t="s">
        <v>78</v>
      </c>
      <c r="I49" s="47" t="s">
        <v>115</v>
      </c>
      <c r="J49" s="47" t="s">
        <v>108</v>
      </c>
      <c r="K49" s="48">
        <v>0</v>
      </c>
      <c r="L49" s="46">
        <v>28061</v>
      </c>
      <c r="M49" s="48">
        <v>0</v>
      </c>
      <c r="N49" s="48">
        <v>0</v>
      </c>
      <c r="O49" s="48">
        <v>0</v>
      </c>
      <c r="P49" s="25" t="b">
        <f t="shared" si="6"/>
        <v>1</v>
      </c>
      <c r="Q49" s="24">
        <v>0</v>
      </c>
      <c r="R49" s="24" t="s">
        <v>61</v>
      </c>
      <c r="S49" s="24" t="s">
        <v>62</v>
      </c>
      <c r="T49" s="23" t="s">
        <v>63</v>
      </c>
      <c r="U49" s="24" t="s">
        <v>116</v>
      </c>
    </row>
    <row r="50" spans="1:21" ht="63">
      <c r="A50" s="60" t="s">
        <v>117</v>
      </c>
      <c r="B50" s="50" t="s">
        <v>118</v>
      </c>
      <c r="C50" s="47" t="s">
        <v>22</v>
      </c>
      <c r="D50" s="47">
        <v>1</v>
      </c>
      <c r="E50" s="25">
        <f t="shared" si="7"/>
        <v>19938</v>
      </c>
      <c r="F50" s="47" t="s">
        <v>56</v>
      </c>
      <c r="G50" s="47" t="s">
        <v>95</v>
      </c>
      <c r="H50" s="47" t="s">
        <v>96</v>
      </c>
      <c r="I50" s="47" t="s">
        <v>119</v>
      </c>
      <c r="J50" s="47" t="s">
        <v>120</v>
      </c>
      <c r="K50" s="48">
        <v>0</v>
      </c>
      <c r="L50" s="48">
        <v>0</v>
      </c>
      <c r="M50" s="46">
        <v>19938</v>
      </c>
      <c r="N50" s="48">
        <v>0</v>
      </c>
      <c r="O50" s="48">
        <v>0</v>
      </c>
      <c r="P50" s="25" t="b">
        <f t="shared" si="6"/>
        <v>1</v>
      </c>
      <c r="Q50" s="24">
        <v>0</v>
      </c>
      <c r="R50" s="24" t="s">
        <v>61</v>
      </c>
      <c r="S50" s="24" t="s">
        <v>62</v>
      </c>
      <c r="T50" s="23" t="s">
        <v>63</v>
      </c>
      <c r="U50" s="24" t="s">
        <v>121</v>
      </c>
    </row>
    <row r="51" spans="1:21" ht="63">
      <c r="A51" s="53" t="s">
        <v>122</v>
      </c>
      <c r="B51" s="61" t="s">
        <v>123</v>
      </c>
      <c r="C51" s="54" t="s">
        <v>22</v>
      </c>
      <c r="D51" s="54">
        <v>1</v>
      </c>
      <c r="E51" s="25">
        <f t="shared" si="7"/>
        <v>22100</v>
      </c>
      <c r="F51" s="47" t="s">
        <v>56</v>
      </c>
      <c r="G51" s="47" t="s">
        <v>119</v>
      </c>
      <c r="H51" s="47" t="s">
        <v>120</v>
      </c>
      <c r="I51" s="47" t="s">
        <v>66</v>
      </c>
      <c r="J51" s="47" t="s">
        <v>124</v>
      </c>
      <c r="K51" s="48">
        <v>0</v>
      </c>
      <c r="L51" s="46"/>
      <c r="M51" s="48">
        <v>300</v>
      </c>
      <c r="N51" s="48">
        <v>21800</v>
      </c>
      <c r="O51" s="48">
        <v>0</v>
      </c>
      <c r="P51" s="25" t="b">
        <f t="shared" si="6"/>
        <v>1</v>
      </c>
      <c r="Q51" s="24"/>
      <c r="R51" s="24" t="s">
        <v>61</v>
      </c>
      <c r="S51" s="24" t="s">
        <v>125</v>
      </c>
      <c r="T51" s="23" t="s">
        <v>63</v>
      </c>
      <c r="U51" s="24" t="s">
        <v>126</v>
      </c>
    </row>
    <row r="52" spans="1:21" ht="63">
      <c r="A52" s="55"/>
      <c r="B52" s="61" t="s">
        <v>127</v>
      </c>
      <c r="C52" s="57"/>
      <c r="D52" s="57"/>
      <c r="E52" s="25">
        <f t="shared" si="7"/>
        <v>1130</v>
      </c>
      <c r="F52" s="47" t="s">
        <v>56</v>
      </c>
      <c r="G52" s="47" t="s">
        <v>128</v>
      </c>
      <c r="H52" s="47" t="s">
        <v>129</v>
      </c>
      <c r="I52" s="47" t="s">
        <v>130</v>
      </c>
      <c r="J52" s="47" t="s">
        <v>108</v>
      </c>
      <c r="K52" s="48">
        <v>0</v>
      </c>
      <c r="L52" s="46">
        <v>1130</v>
      </c>
      <c r="M52" s="48">
        <v>0</v>
      </c>
      <c r="N52" s="48">
        <v>0</v>
      </c>
      <c r="O52" s="48">
        <v>0</v>
      </c>
      <c r="P52" s="25" t="b">
        <f t="shared" si="6"/>
        <v>1</v>
      </c>
      <c r="Q52" s="24"/>
      <c r="R52" s="24" t="s">
        <v>61</v>
      </c>
      <c r="S52" s="24" t="s">
        <v>125</v>
      </c>
      <c r="T52" s="23" t="s">
        <v>63</v>
      </c>
      <c r="U52" s="24" t="s">
        <v>131</v>
      </c>
    </row>
    <row r="53" spans="1:21" ht="78.75">
      <c r="A53" s="60" t="s">
        <v>132</v>
      </c>
      <c r="B53" s="50" t="s">
        <v>133</v>
      </c>
      <c r="C53" s="47" t="s">
        <v>22</v>
      </c>
      <c r="D53" s="47">
        <v>1</v>
      </c>
      <c r="E53" s="25">
        <f t="shared" si="7"/>
        <v>21700</v>
      </c>
      <c r="F53" s="47" t="s">
        <v>82</v>
      </c>
      <c r="G53" s="47" t="s">
        <v>119</v>
      </c>
      <c r="H53" s="47" t="s">
        <v>120</v>
      </c>
      <c r="I53" s="47" t="s">
        <v>104</v>
      </c>
      <c r="J53" s="47" t="s">
        <v>124</v>
      </c>
      <c r="K53" s="48">
        <v>0</v>
      </c>
      <c r="L53" s="48">
        <v>0</v>
      </c>
      <c r="M53" s="48">
        <v>100</v>
      </c>
      <c r="N53" s="48">
        <v>21600</v>
      </c>
      <c r="O53" s="48"/>
      <c r="P53" s="25" t="b">
        <f t="shared" si="6"/>
        <v>1</v>
      </c>
      <c r="Q53" s="24">
        <v>0</v>
      </c>
      <c r="R53" s="24" t="s">
        <v>61</v>
      </c>
      <c r="S53" s="24" t="s">
        <v>62</v>
      </c>
      <c r="T53" s="23" t="s">
        <v>63</v>
      </c>
      <c r="U53" s="24" t="s">
        <v>134</v>
      </c>
    </row>
    <row r="54" spans="1:21" ht="60.75" customHeight="1">
      <c r="A54" s="52" t="s">
        <v>135</v>
      </c>
      <c r="B54" s="50" t="s">
        <v>136</v>
      </c>
      <c r="C54" s="47" t="s">
        <v>22</v>
      </c>
      <c r="D54" s="47">
        <v>1</v>
      </c>
      <c r="E54" s="25">
        <f t="shared" si="7"/>
        <v>16706</v>
      </c>
      <c r="F54" s="47" t="s">
        <v>56</v>
      </c>
      <c r="G54" s="47" t="s">
        <v>90</v>
      </c>
      <c r="H54" s="47" t="s">
        <v>78</v>
      </c>
      <c r="I54" s="47" t="s">
        <v>97</v>
      </c>
      <c r="J54" s="47" t="s">
        <v>98</v>
      </c>
      <c r="K54" s="46">
        <v>16706</v>
      </c>
      <c r="L54" s="48">
        <v>0</v>
      </c>
      <c r="M54" s="48">
        <v>0</v>
      </c>
      <c r="N54" s="48">
        <v>0</v>
      </c>
      <c r="O54" s="48">
        <v>0</v>
      </c>
      <c r="P54" s="25" t="b">
        <f t="shared" si="6"/>
        <v>1</v>
      </c>
      <c r="Q54" s="24">
        <v>0</v>
      </c>
      <c r="R54" s="24" t="s">
        <v>61</v>
      </c>
      <c r="S54" s="24" t="s">
        <v>62</v>
      </c>
      <c r="T54" s="23" t="s">
        <v>63</v>
      </c>
      <c r="U54" s="24" t="s">
        <v>137</v>
      </c>
    </row>
    <row r="55" spans="1:21" ht="137.25" customHeight="1">
      <c r="A55" s="52" t="s">
        <v>138</v>
      </c>
      <c r="B55" s="50" t="s">
        <v>139</v>
      </c>
      <c r="C55" s="47" t="s">
        <v>22</v>
      </c>
      <c r="D55" s="47">
        <v>1</v>
      </c>
      <c r="E55" s="25">
        <f t="shared" si="7"/>
        <v>22300</v>
      </c>
      <c r="F55" s="47" t="s">
        <v>82</v>
      </c>
      <c r="G55" s="47" t="s">
        <v>104</v>
      </c>
      <c r="H55" s="47" t="s">
        <v>124</v>
      </c>
      <c r="I55" s="47" t="s">
        <v>140</v>
      </c>
      <c r="J55" s="47" t="s">
        <v>141</v>
      </c>
      <c r="K55" s="48">
        <v>0</v>
      </c>
      <c r="L55" s="48">
        <v>0</v>
      </c>
      <c r="M55" s="48">
        <v>0</v>
      </c>
      <c r="N55" s="48">
        <v>300</v>
      </c>
      <c r="O55" s="48">
        <v>22000</v>
      </c>
      <c r="P55" s="25" t="b">
        <f t="shared" si="6"/>
        <v>1</v>
      </c>
      <c r="Q55" s="24">
        <v>0</v>
      </c>
      <c r="R55" s="24" t="s">
        <v>61</v>
      </c>
      <c r="S55" s="24" t="s">
        <v>62</v>
      </c>
      <c r="T55" s="23" t="s">
        <v>63</v>
      </c>
      <c r="U55" s="24" t="s">
        <v>142</v>
      </c>
    </row>
    <row r="56" spans="1:21">
      <c r="A56" s="62" t="s">
        <v>33</v>
      </c>
      <c r="B56" s="17" t="s">
        <v>24</v>
      </c>
      <c r="C56" s="45" t="s">
        <v>22</v>
      </c>
      <c r="D56" s="45">
        <v>2</v>
      </c>
      <c r="E56" s="19">
        <f>E58</f>
        <v>17140</v>
      </c>
      <c r="F56" s="19" t="str">
        <f t="shared" ref="F56:Q56" si="8">F58</f>
        <v>так</v>
      </c>
      <c r="G56" s="19" t="str">
        <f t="shared" si="8"/>
        <v xml:space="preserve">1 кв. 2014 </v>
      </c>
      <c r="H56" s="19" t="str">
        <f t="shared" si="8"/>
        <v xml:space="preserve">4 кв. 2014 </v>
      </c>
      <c r="I56" s="19" t="str">
        <f t="shared" si="8"/>
        <v xml:space="preserve">1 кв. 2021 </v>
      </c>
      <c r="J56" s="19" t="str">
        <f t="shared" si="8"/>
        <v xml:space="preserve">4 кв. 2021 </v>
      </c>
      <c r="K56" s="19">
        <f>K58</f>
        <v>17140</v>
      </c>
      <c r="L56" s="19">
        <f t="shared" si="8"/>
        <v>0</v>
      </c>
      <c r="M56" s="19">
        <f t="shared" si="8"/>
        <v>0</v>
      </c>
      <c r="N56" s="19">
        <f t="shared" si="8"/>
        <v>0</v>
      </c>
      <c r="O56" s="19">
        <f t="shared" si="8"/>
        <v>0</v>
      </c>
      <c r="P56" s="19" t="b">
        <f t="shared" si="8"/>
        <v>1</v>
      </c>
      <c r="Q56" s="19">
        <f t="shared" si="8"/>
        <v>0</v>
      </c>
      <c r="R56" s="12"/>
      <c r="S56" s="12"/>
      <c r="T56" s="17"/>
      <c r="U56" s="24"/>
    </row>
    <row r="57" spans="1:21" ht="22.5" customHeight="1">
      <c r="A57" s="24"/>
      <c r="B57" s="17" t="s">
        <v>143</v>
      </c>
      <c r="C57" s="47"/>
      <c r="D57" s="47"/>
      <c r="E57" s="25"/>
      <c r="F57" s="47"/>
      <c r="G57" s="47"/>
      <c r="H57" s="47"/>
      <c r="I57" s="47"/>
      <c r="J57" s="47"/>
      <c r="K57" s="48"/>
      <c r="L57" s="48"/>
      <c r="M57" s="48"/>
      <c r="N57" s="48"/>
      <c r="O57" s="48"/>
      <c r="P57" s="25"/>
      <c r="Q57" s="24"/>
      <c r="R57" s="24"/>
      <c r="S57" s="24"/>
      <c r="T57" s="23"/>
      <c r="U57" s="24"/>
    </row>
    <row r="58" spans="1:21" ht="188.25" customHeight="1">
      <c r="A58" s="52" t="s">
        <v>144</v>
      </c>
      <c r="B58" s="50" t="s">
        <v>145</v>
      </c>
      <c r="C58" s="47" t="s">
        <v>22</v>
      </c>
      <c r="D58" s="47">
        <v>1</v>
      </c>
      <c r="E58" s="25">
        <f t="shared" si="7"/>
        <v>17140</v>
      </c>
      <c r="F58" s="47" t="s">
        <v>56</v>
      </c>
      <c r="G58" s="47" t="s">
        <v>146</v>
      </c>
      <c r="H58" s="47" t="s">
        <v>147</v>
      </c>
      <c r="I58" s="47" t="s">
        <v>97</v>
      </c>
      <c r="J58" s="47" t="s">
        <v>73</v>
      </c>
      <c r="K58" s="48">
        <v>17140</v>
      </c>
      <c r="L58" s="48">
        <v>0</v>
      </c>
      <c r="M58" s="48">
        <v>0</v>
      </c>
      <c r="N58" s="48">
        <v>0</v>
      </c>
      <c r="O58" s="48">
        <v>0</v>
      </c>
      <c r="P58" s="25" t="b">
        <f t="shared" si="6"/>
        <v>1</v>
      </c>
      <c r="Q58" s="24">
        <v>0</v>
      </c>
      <c r="R58" s="24" t="s">
        <v>61</v>
      </c>
      <c r="S58" s="24" t="s">
        <v>62</v>
      </c>
      <c r="T58" s="23" t="s">
        <v>63</v>
      </c>
      <c r="U58" s="23" t="s">
        <v>148</v>
      </c>
    </row>
    <row r="59" spans="1:21" s="63" customFormat="1" ht="31.5">
      <c r="A59" s="62" t="s">
        <v>34</v>
      </c>
      <c r="B59" s="17" t="s">
        <v>35</v>
      </c>
      <c r="C59" s="45" t="s">
        <v>27</v>
      </c>
      <c r="D59" s="45">
        <v>0</v>
      </c>
      <c r="E59" s="19">
        <v>0</v>
      </c>
      <c r="F59" s="45"/>
      <c r="G59" s="45"/>
      <c r="H59" s="45"/>
      <c r="I59" s="45"/>
      <c r="J59" s="45"/>
      <c r="K59" s="46">
        <v>0</v>
      </c>
      <c r="L59" s="46">
        <v>0</v>
      </c>
      <c r="M59" s="46">
        <v>0</v>
      </c>
      <c r="N59" s="46">
        <v>0</v>
      </c>
      <c r="O59" s="46">
        <v>0</v>
      </c>
      <c r="P59" s="19" t="b">
        <f t="shared" si="6"/>
        <v>1</v>
      </c>
      <c r="Q59" s="12"/>
      <c r="R59" s="12"/>
      <c r="S59" s="12"/>
      <c r="T59" s="17"/>
      <c r="U59" s="12"/>
    </row>
    <row r="60" spans="1:21" s="63" customFormat="1" ht="31.5">
      <c r="A60" s="62" t="s">
        <v>36</v>
      </c>
      <c r="B60" s="17" t="s">
        <v>29</v>
      </c>
      <c r="C60" s="45" t="s">
        <v>27</v>
      </c>
      <c r="D60" s="45">
        <f>D61</f>
        <v>6.2</v>
      </c>
      <c r="E60" s="45">
        <f t="shared" ref="E60:S60" si="9">E61</f>
        <v>7000</v>
      </c>
      <c r="F60" s="45" t="str">
        <f t="shared" si="9"/>
        <v>так</v>
      </c>
      <c r="G60" s="45" t="str">
        <f t="shared" si="9"/>
        <v xml:space="preserve">1 кв. 2020 </v>
      </c>
      <c r="H60" s="45" t="str">
        <f t="shared" si="9"/>
        <v xml:space="preserve">4 кв. 2020 </v>
      </c>
      <c r="I60" s="45" t="str">
        <f t="shared" si="9"/>
        <v>1 кв. 2022</v>
      </c>
      <c r="J60" s="45" t="str">
        <f t="shared" si="9"/>
        <v xml:space="preserve">4 кв. 2023 </v>
      </c>
      <c r="K60" s="45">
        <f t="shared" si="9"/>
        <v>0</v>
      </c>
      <c r="L60" s="45">
        <f t="shared" si="9"/>
        <v>2500</v>
      </c>
      <c r="M60" s="45">
        <f t="shared" si="9"/>
        <v>4500</v>
      </c>
      <c r="N60" s="45">
        <f t="shared" si="9"/>
        <v>0</v>
      </c>
      <c r="O60" s="45">
        <f t="shared" si="9"/>
        <v>0</v>
      </c>
      <c r="P60" s="45" t="b">
        <f t="shared" si="9"/>
        <v>1</v>
      </c>
      <c r="Q60" s="45">
        <f t="shared" si="9"/>
        <v>0</v>
      </c>
      <c r="R60" s="45"/>
      <c r="S60" s="45" t="str">
        <f t="shared" si="9"/>
        <v>1;2</v>
      </c>
      <c r="T60" s="17"/>
      <c r="U60" s="12"/>
    </row>
    <row r="61" spans="1:21" ht="63">
      <c r="A61" s="52" t="s">
        <v>149</v>
      </c>
      <c r="B61" s="50" t="s">
        <v>150</v>
      </c>
      <c r="C61" s="47" t="s">
        <v>27</v>
      </c>
      <c r="D61" s="47">
        <v>6.2</v>
      </c>
      <c r="E61" s="25">
        <f>K61+L61+M61+N61+O61</f>
        <v>7000</v>
      </c>
      <c r="F61" s="47" t="s">
        <v>56</v>
      </c>
      <c r="G61" s="47" t="s">
        <v>102</v>
      </c>
      <c r="H61" s="47" t="s">
        <v>103</v>
      </c>
      <c r="I61" s="47" t="s">
        <v>130</v>
      </c>
      <c r="J61" s="47" t="s">
        <v>120</v>
      </c>
      <c r="K61" s="48">
        <v>0</v>
      </c>
      <c r="L61" s="48">
        <v>2500</v>
      </c>
      <c r="M61" s="48">
        <v>4500</v>
      </c>
      <c r="N61" s="48">
        <v>0</v>
      </c>
      <c r="O61" s="48">
        <v>0</v>
      </c>
      <c r="P61" s="25" t="b">
        <f t="shared" si="6"/>
        <v>1</v>
      </c>
      <c r="Q61" s="24">
        <v>0</v>
      </c>
      <c r="R61" s="24" t="s">
        <v>61</v>
      </c>
      <c r="S61" s="24" t="s">
        <v>62</v>
      </c>
      <c r="T61" s="23" t="s">
        <v>63</v>
      </c>
      <c r="U61" s="24" t="s">
        <v>151</v>
      </c>
    </row>
    <row r="62" spans="1:21" ht="31.5">
      <c r="A62" s="64" t="s">
        <v>37</v>
      </c>
      <c r="B62" s="65" t="s">
        <v>38</v>
      </c>
      <c r="C62" s="66"/>
      <c r="D62" s="66">
        <v>0</v>
      </c>
      <c r="E62" s="67">
        <f>K62+L62+M62+N62+O62</f>
        <v>0</v>
      </c>
      <c r="F62" s="66"/>
      <c r="G62" s="66"/>
      <c r="H62" s="66"/>
      <c r="I62" s="66"/>
      <c r="J62" s="66"/>
      <c r="K62" s="68">
        <v>0</v>
      </c>
      <c r="L62" s="68">
        <v>0</v>
      </c>
      <c r="M62" s="68">
        <v>0</v>
      </c>
      <c r="N62" s="68">
        <v>0</v>
      </c>
      <c r="O62" s="68">
        <v>0</v>
      </c>
      <c r="P62" s="19" t="b">
        <f t="shared" si="6"/>
        <v>1</v>
      </c>
      <c r="Q62" s="69"/>
      <c r="R62" s="69"/>
      <c r="S62" s="69"/>
      <c r="T62" s="70"/>
      <c r="U62" s="69"/>
    </row>
    <row r="63" spans="1:21" ht="31.5">
      <c r="A63" s="62" t="s">
        <v>39</v>
      </c>
      <c r="B63" s="17" t="s">
        <v>40</v>
      </c>
      <c r="C63" s="45"/>
      <c r="D63" s="45">
        <f>D64+D65</f>
        <v>51</v>
      </c>
      <c r="E63" s="46">
        <f>E64+E65</f>
        <v>61899.64</v>
      </c>
      <c r="F63" s="45"/>
      <c r="G63" s="45"/>
      <c r="H63" s="45"/>
      <c r="I63" s="45"/>
      <c r="J63" s="45"/>
      <c r="K63" s="46">
        <f>K64+K65</f>
        <v>3514.64</v>
      </c>
      <c r="L63" s="46">
        <f>L64+L65</f>
        <v>8711</v>
      </c>
      <c r="M63" s="46">
        <f>M64+M65</f>
        <v>15221</v>
      </c>
      <c r="N63" s="46">
        <f>N64+N65</f>
        <v>11582</v>
      </c>
      <c r="O63" s="46">
        <f>O64+O65</f>
        <v>22871</v>
      </c>
      <c r="P63" s="19" t="b">
        <f t="shared" si="6"/>
        <v>1</v>
      </c>
      <c r="Q63" s="24"/>
      <c r="R63" s="24"/>
      <c r="S63" s="24"/>
      <c r="T63" s="23"/>
      <c r="U63" s="24"/>
    </row>
    <row r="64" spans="1:21">
      <c r="A64" s="52" t="s">
        <v>41</v>
      </c>
      <c r="B64" s="23" t="s">
        <v>42</v>
      </c>
      <c r="C64" s="47" t="s">
        <v>22</v>
      </c>
      <c r="D64" s="47">
        <v>20</v>
      </c>
      <c r="E64" s="48">
        <f>K64+L64+M64+N64+O64</f>
        <v>46899.64</v>
      </c>
      <c r="F64" s="47"/>
      <c r="G64" s="47"/>
      <c r="H64" s="47"/>
      <c r="I64" s="47"/>
      <c r="J64" s="47"/>
      <c r="K64" s="71">
        <f>2741.04+773.6</f>
        <v>3514.64</v>
      </c>
      <c r="L64" s="48">
        <v>7601</v>
      </c>
      <c r="M64" s="48">
        <v>10021</v>
      </c>
      <c r="N64" s="48">
        <v>5892</v>
      </c>
      <c r="O64" s="48">
        <v>19871</v>
      </c>
      <c r="P64" s="25" t="b">
        <f t="shared" si="6"/>
        <v>1</v>
      </c>
      <c r="Q64" s="24"/>
      <c r="R64" s="24"/>
      <c r="S64" s="24"/>
      <c r="T64" s="23"/>
      <c r="U64" s="24"/>
    </row>
    <row r="65" spans="1:21" ht="16.5" customHeight="1">
      <c r="A65" s="52" t="s">
        <v>43</v>
      </c>
      <c r="B65" s="61" t="s">
        <v>44</v>
      </c>
      <c r="C65" s="47" t="s">
        <v>27</v>
      </c>
      <c r="D65" s="47">
        <v>31</v>
      </c>
      <c r="E65" s="48">
        <f>K65+L65+M65+N65+O65</f>
        <v>15000</v>
      </c>
      <c r="F65" s="47"/>
      <c r="G65" s="47"/>
      <c r="H65" s="47"/>
      <c r="I65" s="47"/>
      <c r="J65" s="47"/>
      <c r="K65" s="47">
        <v>0</v>
      </c>
      <c r="L65" s="48">
        <v>1110</v>
      </c>
      <c r="M65" s="48">
        <v>5200</v>
      </c>
      <c r="N65" s="48">
        <v>5690</v>
      </c>
      <c r="O65" s="48">
        <v>3000</v>
      </c>
      <c r="P65" s="25" t="b">
        <f t="shared" si="6"/>
        <v>1</v>
      </c>
      <c r="Q65" s="24"/>
      <c r="R65" s="24"/>
      <c r="S65" s="24"/>
      <c r="T65" s="23"/>
      <c r="U65" s="24"/>
    </row>
    <row r="66" spans="1:21" ht="37.5" customHeight="1">
      <c r="A66" s="62">
        <v>5</v>
      </c>
      <c r="B66" s="72" t="s">
        <v>45</v>
      </c>
      <c r="C66" s="45" t="s">
        <v>152</v>
      </c>
      <c r="D66" s="45">
        <v>195</v>
      </c>
      <c r="E66" s="45">
        <f>K66+L66+M66+N66+O66</f>
        <v>9413</v>
      </c>
      <c r="F66" s="45"/>
      <c r="G66" s="45"/>
      <c r="H66" s="45"/>
      <c r="I66" s="45"/>
      <c r="J66" s="45"/>
      <c r="K66" s="45">
        <v>1413</v>
      </c>
      <c r="L66" s="45">
        <v>2000</v>
      </c>
      <c r="M66" s="45">
        <v>2000</v>
      </c>
      <c r="N66" s="45">
        <v>2000</v>
      </c>
      <c r="O66" s="45">
        <v>2000</v>
      </c>
      <c r="P66" s="24" t="b">
        <f t="shared" si="6"/>
        <v>1</v>
      </c>
      <c r="Q66" s="24"/>
      <c r="R66" s="24"/>
      <c r="S66" s="24"/>
      <c r="T66" s="23"/>
      <c r="U66" s="24"/>
    </row>
    <row r="67" spans="1:21" ht="49.5" customHeight="1">
      <c r="A67" s="62">
        <v>6</v>
      </c>
      <c r="B67" s="17" t="s">
        <v>46</v>
      </c>
      <c r="C67" s="45"/>
      <c r="D67" s="45">
        <v>4</v>
      </c>
      <c r="E67" s="19">
        <f>K67+L67+M67+N67+O67</f>
        <v>5763</v>
      </c>
      <c r="F67" s="45"/>
      <c r="G67" s="45"/>
      <c r="H67" s="45"/>
      <c r="I67" s="45"/>
      <c r="J67" s="45"/>
      <c r="K67" s="19">
        <v>0</v>
      </c>
      <c r="L67" s="19">
        <v>300</v>
      </c>
      <c r="M67" s="19">
        <v>2063</v>
      </c>
      <c r="N67" s="19">
        <v>3400</v>
      </c>
      <c r="O67" s="19">
        <v>0</v>
      </c>
      <c r="P67" s="24" t="b">
        <f t="shared" si="6"/>
        <v>1</v>
      </c>
      <c r="Q67" s="24"/>
      <c r="R67" s="73"/>
      <c r="S67" s="24"/>
      <c r="T67" s="23"/>
      <c r="U67" s="24"/>
    </row>
    <row r="68" spans="1:21" ht="51.75" customHeight="1">
      <c r="A68" s="62">
        <v>7</v>
      </c>
      <c r="B68" s="17" t="s">
        <v>47</v>
      </c>
      <c r="C68" s="45" t="s">
        <v>22</v>
      </c>
      <c r="D68" s="45">
        <v>239</v>
      </c>
      <c r="E68" s="19">
        <f>K68+L68+M68+N68+O68</f>
        <v>1880</v>
      </c>
      <c r="F68" s="45"/>
      <c r="G68" s="45"/>
      <c r="H68" s="45"/>
      <c r="I68" s="45"/>
      <c r="J68" s="45"/>
      <c r="K68" s="46">
        <f>280</f>
        <v>280</v>
      </c>
      <c r="L68" s="46">
        <v>400</v>
      </c>
      <c r="M68" s="46">
        <v>400</v>
      </c>
      <c r="N68" s="46">
        <v>400</v>
      </c>
      <c r="O68" s="46">
        <v>400</v>
      </c>
      <c r="P68" s="19" t="b">
        <f t="shared" si="6"/>
        <v>1</v>
      </c>
      <c r="Q68" s="74"/>
      <c r="R68" s="12" t="s">
        <v>153</v>
      </c>
      <c r="S68" s="75"/>
      <c r="T68" s="23"/>
      <c r="U68" s="24"/>
    </row>
    <row r="69" spans="1:21">
      <c r="A69" s="62">
        <v>8</v>
      </c>
      <c r="B69" s="17" t="s">
        <v>48</v>
      </c>
      <c r="C69" s="47" t="s">
        <v>22</v>
      </c>
      <c r="D69" s="45">
        <v>0</v>
      </c>
      <c r="E69" s="19">
        <v>0</v>
      </c>
      <c r="F69" s="45"/>
      <c r="G69" s="45"/>
      <c r="H69" s="45"/>
      <c r="I69" s="45"/>
      <c r="J69" s="45"/>
      <c r="K69" s="46">
        <v>0</v>
      </c>
      <c r="L69" s="46">
        <v>0</v>
      </c>
      <c r="M69" s="46">
        <v>0</v>
      </c>
      <c r="N69" s="46">
        <v>0</v>
      </c>
      <c r="O69" s="46">
        <v>0</v>
      </c>
      <c r="P69" s="19" t="b">
        <f t="shared" si="6"/>
        <v>1</v>
      </c>
      <c r="Q69" s="24"/>
      <c r="R69" s="69"/>
      <c r="S69" s="24"/>
      <c r="T69" s="23"/>
      <c r="U69" s="24"/>
    </row>
    <row r="70" spans="1:21">
      <c r="A70" s="62">
        <v>9</v>
      </c>
      <c r="B70" s="17" t="s">
        <v>49</v>
      </c>
      <c r="C70" s="47" t="s">
        <v>22</v>
      </c>
      <c r="D70" s="45">
        <v>34</v>
      </c>
      <c r="E70" s="19">
        <f>K70+L70+M70+N70+O70</f>
        <v>28173</v>
      </c>
      <c r="F70" s="45"/>
      <c r="G70" s="45"/>
      <c r="H70" s="45"/>
      <c r="I70" s="45"/>
      <c r="J70" s="45"/>
      <c r="K70" s="19">
        <v>2688</v>
      </c>
      <c r="L70" s="19">
        <v>4193</v>
      </c>
      <c r="M70" s="19">
        <f>3400+121</f>
        <v>3521</v>
      </c>
      <c r="N70" s="19">
        <v>4838</v>
      </c>
      <c r="O70" s="19">
        <v>12933</v>
      </c>
      <c r="P70" s="19" t="b">
        <f t="shared" si="6"/>
        <v>1</v>
      </c>
      <c r="Q70" s="24"/>
      <c r="R70" s="24"/>
      <c r="S70" s="24"/>
      <c r="T70" s="23"/>
      <c r="U70" s="24"/>
    </row>
    <row r="71" spans="1:21">
      <c r="A71" s="62">
        <v>10</v>
      </c>
      <c r="B71" s="17" t="s">
        <v>50</v>
      </c>
      <c r="C71" s="45" t="s">
        <v>22</v>
      </c>
      <c r="D71" s="45">
        <v>75</v>
      </c>
      <c r="E71" s="19">
        <f>K71+L71+M71+N71+O71</f>
        <v>3424</v>
      </c>
      <c r="F71" s="45"/>
      <c r="G71" s="45"/>
      <c r="H71" s="45"/>
      <c r="I71" s="45"/>
      <c r="J71" s="45"/>
      <c r="K71" s="46">
        <v>45</v>
      </c>
      <c r="L71" s="46">
        <v>1350</v>
      </c>
      <c r="M71" s="46">
        <v>259</v>
      </c>
      <c r="N71" s="46">
        <v>881</v>
      </c>
      <c r="O71" s="46">
        <v>889</v>
      </c>
      <c r="P71" s="19" t="b">
        <f t="shared" si="6"/>
        <v>1</v>
      </c>
      <c r="Q71" s="24"/>
      <c r="R71" s="12" t="s">
        <v>153</v>
      </c>
      <c r="S71" s="24"/>
      <c r="T71" s="23"/>
      <c r="U71" s="24"/>
    </row>
    <row r="72" spans="1:21" s="83" customFormat="1" ht="19.5" thickBot="1">
      <c r="A72" s="76"/>
      <c r="B72" s="77" t="s">
        <v>4</v>
      </c>
      <c r="C72" s="78"/>
      <c r="D72" s="78">
        <f>D71+D70+D69+D68+D67+D66+D63+D36+D62+D31</f>
        <v>619.20000000000005</v>
      </c>
      <c r="E72" s="79">
        <f>K72+L72+M72+N72+O72</f>
        <v>342267.83999999997</v>
      </c>
      <c r="F72" s="80"/>
      <c r="G72" s="80"/>
      <c r="H72" s="80"/>
      <c r="I72" s="80"/>
      <c r="J72" s="80"/>
      <c r="K72" s="80">
        <f>K71+K70+K69+K68+K67+K66+K63+K36+K62+K31</f>
        <v>66267.839999999997</v>
      </c>
      <c r="L72" s="80">
        <f>L71+L70+L69+L68+L67+L66+L63+L36+L62+L31</f>
        <v>67811</v>
      </c>
      <c r="M72" s="80">
        <f>M71+M70+M69+M68+M67+M66+M63+M36+M62+M31</f>
        <v>70510</v>
      </c>
      <c r="N72" s="80">
        <f>N71+N70+N69+N68+N67+N66+N63+N36+N62+N31</f>
        <v>76286</v>
      </c>
      <c r="O72" s="80">
        <f>O71+O70+O69+O68+O67+O66+O63+O36+O62+O31</f>
        <v>61393</v>
      </c>
      <c r="P72" s="79" t="b">
        <f t="shared" si="6"/>
        <v>1</v>
      </c>
      <c r="Q72" s="81"/>
      <c r="R72" s="81"/>
      <c r="S72" s="81"/>
      <c r="T72" s="82"/>
      <c r="U72" s="81"/>
    </row>
    <row r="73" spans="1:21" s="86" customFormat="1" ht="19.5" thickBot="1">
      <c r="A73" s="84" t="s">
        <v>154</v>
      </c>
      <c r="B73" s="85"/>
      <c r="C73" s="85"/>
      <c r="D73" s="85"/>
      <c r="E73" s="85"/>
      <c r="F73" s="85"/>
      <c r="G73" s="85"/>
      <c r="H73" s="85"/>
      <c r="I73" s="85"/>
      <c r="J73" s="85"/>
      <c r="K73" s="85"/>
      <c r="L73" s="85"/>
      <c r="M73" s="85"/>
      <c r="N73" s="85"/>
      <c r="O73" s="85"/>
      <c r="P73" s="85"/>
      <c r="Q73" s="85"/>
      <c r="R73" s="85"/>
      <c r="S73" s="85"/>
      <c r="T73" s="85"/>
      <c r="U73" s="85"/>
    </row>
    <row r="74" spans="1:21" s="86" customFormat="1" ht="19.5" customHeight="1" thickBot="1">
      <c r="A74" s="87" t="s">
        <v>1</v>
      </c>
      <c r="B74" s="88" t="s">
        <v>2</v>
      </c>
      <c r="C74" s="88" t="s">
        <v>3</v>
      </c>
      <c r="D74" s="89" t="s">
        <v>4</v>
      </c>
      <c r="E74" s="90"/>
      <c r="F74" s="91" t="s">
        <v>5</v>
      </c>
      <c r="G74" s="89" t="s">
        <v>6</v>
      </c>
      <c r="H74" s="90"/>
      <c r="I74" s="92" t="s">
        <v>7</v>
      </c>
      <c r="J74" s="93"/>
      <c r="K74" s="94" t="s">
        <v>8</v>
      </c>
      <c r="L74" s="95"/>
      <c r="M74" s="95"/>
      <c r="N74" s="95"/>
      <c r="O74" s="91"/>
      <c r="P74" s="88" t="s">
        <v>9</v>
      </c>
      <c r="Q74" s="96" t="s">
        <v>10</v>
      </c>
      <c r="R74" s="96" t="s">
        <v>11</v>
      </c>
      <c r="S74" s="96" t="s">
        <v>12</v>
      </c>
      <c r="T74" s="97" t="s">
        <v>13</v>
      </c>
      <c r="U74" s="96" t="s">
        <v>14</v>
      </c>
    </row>
    <row r="75" spans="1:21" s="86" customFormat="1" ht="15.75" customHeight="1" thickBot="1">
      <c r="A75" s="98"/>
      <c r="B75" s="99"/>
      <c r="C75" s="99"/>
      <c r="D75" s="88" t="s">
        <v>15</v>
      </c>
      <c r="E75" s="88" t="s">
        <v>16</v>
      </c>
      <c r="F75" s="100"/>
      <c r="G75" s="88" t="s">
        <v>17</v>
      </c>
      <c r="H75" s="88" t="s">
        <v>18</v>
      </c>
      <c r="I75" s="88" t="s">
        <v>17</v>
      </c>
      <c r="J75" s="88" t="s">
        <v>18</v>
      </c>
      <c r="K75" s="101"/>
      <c r="L75" s="102"/>
      <c r="M75" s="102"/>
      <c r="N75" s="102"/>
      <c r="O75" s="103"/>
      <c r="P75" s="99"/>
      <c r="Q75" s="96"/>
      <c r="R75" s="96"/>
      <c r="S75" s="96"/>
      <c r="T75" s="97"/>
      <c r="U75" s="96"/>
    </row>
    <row r="76" spans="1:21" s="86" customFormat="1" ht="19.5" thickBot="1">
      <c r="A76" s="104"/>
      <c r="B76" s="105"/>
      <c r="C76" s="105"/>
      <c r="D76" s="105"/>
      <c r="E76" s="105"/>
      <c r="F76" s="103"/>
      <c r="G76" s="105"/>
      <c r="H76" s="105"/>
      <c r="I76" s="105"/>
      <c r="J76" s="105"/>
      <c r="K76" s="106" t="s">
        <v>155</v>
      </c>
      <c r="L76" s="107" t="s">
        <v>156</v>
      </c>
      <c r="M76" s="106" t="s">
        <v>157</v>
      </c>
      <c r="N76" s="106" t="s">
        <v>158</v>
      </c>
      <c r="O76" s="106" t="s">
        <v>159</v>
      </c>
      <c r="P76" s="99"/>
      <c r="Q76" s="96"/>
      <c r="R76" s="96"/>
      <c r="S76" s="96"/>
      <c r="T76" s="97"/>
      <c r="U76" s="96"/>
    </row>
    <row r="77" spans="1:21" s="63" customFormat="1" ht="16.5" thickBot="1">
      <c r="A77" s="108">
        <v>1</v>
      </c>
      <c r="B77" s="109">
        <v>2</v>
      </c>
      <c r="C77" s="109">
        <v>3</v>
      </c>
      <c r="D77" s="109">
        <v>4</v>
      </c>
      <c r="E77" s="108">
        <v>5</v>
      </c>
      <c r="F77" s="109">
        <v>6</v>
      </c>
      <c r="G77" s="109">
        <v>7</v>
      </c>
      <c r="H77" s="109">
        <v>8</v>
      </c>
      <c r="I77" s="108">
        <v>9</v>
      </c>
      <c r="J77" s="109">
        <v>10</v>
      </c>
      <c r="K77" s="109">
        <v>11</v>
      </c>
      <c r="L77" s="109">
        <v>12</v>
      </c>
      <c r="M77" s="108">
        <v>13</v>
      </c>
      <c r="N77" s="109">
        <v>14</v>
      </c>
      <c r="O77" s="109">
        <v>15</v>
      </c>
      <c r="P77" s="110"/>
      <c r="Q77" s="111">
        <v>16</v>
      </c>
      <c r="R77" s="111">
        <v>17</v>
      </c>
      <c r="S77" s="111">
        <v>18</v>
      </c>
      <c r="T77" s="111">
        <v>19</v>
      </c>
      <c r="U77" s="111">
        <v>20</v>
      </c>
    </row>
    <row r="78" spans="1:21" ht="16.5" thickBot="1">
      <c r="A78" s="112">
        <v>1</v>
      </c>
      <c r="B78" s="113" t="s">
        <v>52</v>
      </c>
      <c r="C78" s="114"/>
      <c r="D78" s="114">
        <f>D79+D81+D82</f>
        <v>12</v>
      </c>
      <c r="E78" s="114">
        <f>E79+E81+E80</f>
        <v>0</v>
      </c>
      <c r="F78" s="115"/>
      <c r="G78" s="114"/>
      <c r="H78" s="114"/>
      <c r="I78" s="116"/>
      <c r="J78" s="114"/>
      <c r="K78" s="114">
        <f>K79+K81+K82</f>
        <v>0</v>
      </c>
      <c r="L78" s="114">
        <f>L79+L81+L82</f>
        <v>0</v>
      </c>
      <c r="M78" s="114">
        <f>M79+M81+M82</f>
        <v>0</v>
      </c>
      <c r="N78" s="117">
        <f>N79+N81+N82</f>
        <v>0</v>
      </c>
      <c r="O78" s="118">
        <f>O79+O81+O80</f>
        <v>0</v>
      </c>
      <c r="P78" s="119" t="b">
        <f t="shared" ref="P78:P141" si="10">E78=K78+L78+M78+N78+O78</f>
        <v>1</v>
      </c>
      <c r="Q78" s="120"/>
      <c r="R78" s="121"/>
      <c r="S78" s="121"/>
      <c r="T78" s="122"/>
      <c r="U78" s="121"/>
    </row>
    <row r="79" spans="1:21" s="86" customFormat="1" ht="55.5" customHeight="1" thickBot="1">
      <c r="A79" s="123" t="s">
        <v>20</v>
      </c>
      <c r="B79" s="124" t="s">
        <v>21</v>
      </c>
      <c r="C79" s="125" t="s">
        <v>22</v>
      </c>
      <c r="D79" s="125"/>
      <c r="E79" s="125">
        <v>0</v>
      </c>
      <c r="F79" s="125"/>
      <c r="G79" s="126"/>
      <c r="H79" s="126"/>
      <c r="I79" s="125"/>
      <c r="J79" s="125"/>
      <c r="K79" s="125">
        <v>0</v>
      </c>
      <c r="L79" s="125">
        <v>0</v>
      </c>
      <c r="M79" s="127">
        <v>0</v>
      </c>
      <c r="N79" s="128">
        <v>0</v>
      </c>
      <c r="O79" s="128">
        <v>0</v>
      </c>
      <c r="P79" s="129" t="b">
        <f t="shared" si="10"/>
        <v>1</v>
      </c>
      <c r="Q79" s="130"/>
      <c r="R79" s="130"/>
      <c r="S79" s="130"/>
      <c r="T79" s="131"/>
      <c r="U79" s="130"/>
    </row>
    <row r="80" spans="1:21" s="86" customFormat="1" ht="55.5" customHeight="1" thickBot="1">
      <c r="A80" s="132" t="s">
        <v>23</v>
      </c>
      <c r="B80" s="133" t="s">
        <v>24</v>
      </c>
      <c r="C80" s="134" t="s">
        <v>22</v>
      </c>
      <c r="D80" s="134"/>
      <c r="E80" s="134">
        <v>0</v>
      </c>
      <c r="F80" s="134"/>
      <c r="G80" s="134"/>
      <c r="H80" s="135"/>
      <c r="I80" s="134"/>
      <c r="J80" s="134"/>
      <c r="K80" s="136">
        <v>0</v>
      </c>
      <c r="L80" s="136">
        <v>0</v>
      </c>
      <c r="M80" s="136">
        <v>0</v>
      </c>
      <c r="N80" s="136">
        <v>0</v>
      </c>
      <c r="O80" s="136">
        <v>0</v>
      </c>
      <c r="P80" s="129" t="b">
        <f t="shared" si="10"/>
        <v>1</v>
      </c>
      <c r="Q80" s="137"/>
      <c r="R80" s="137"/>
      <c r="S80" s="137"/>
      <c r="T80" s="138"/>
      <c r="U80" s="137"/>
    </row>
    <row r="81" spans="1:21" s="86" customFormat="1" ht="42.75" customHeight="1" thickBot="1">
      <c r="A81" s="132" t="s">
        <v>25</v>
      </c>
      <c r="B81" s="133" t="s">
        <v>26</v>
      </c>
      <c r="C81" s="134" t="s">
        <v>27</v>
      </c>
      <c r="D81" s="134"/>
      <c r="E81" s="134">
        <f>K81+L81+M81+N81+O81</f>
        <v>0</v>
      </c>
      <c r="F81" s="134"/>
      <c r="G81" s="134"/>
      <c r="H81" s="135"/>
      <c r="I81" s="134"/>
      <c r="J81" s="134"/>
      <c r="K81" s="136">
        <f>SUM(K82:K82)</f>
        <v>0</v>
      </c>
      <c r="L81" s="136"/>
      <c r="M81" s="136"/>
      <c r="N81" s="136">
        <f>SUM(N82:N82)</f>
        <v>0</v>
      </c>
      <c r="O81" s="136">
        <f>SUM(O82:O82)</f>
        <v>0</v>
      </c>
      <c r="P81" s="129" t="b">
        <f t="shared" si="10"/>
        <v>1</v>
      </c>
      <c r="Q81" s="137"/>
      <c r="R81" s="137"/>
      <c r="S81" s="137"/>
      <c r="T81" s="138"/>
      <c r="U81" s="137"/>
    </row>
    <row r="82" spans="1:21" s="86" customFormat="1" ht="32.25" hidden="1" customHeight="1">
      <c r="A82" s="132" t="s">
        <v>160</v>
      </c>
      <c r="B82" s="139" t="s">
        <v>161</v>
      </c>
      <c r="C82" s="140" t="s">
        <v>27</v>
      </c>
      <c r="D82" s="140">
        <v>12</v>
      </c>
      <c r="E82" s="141">
        <f>K82+L82+M82+N82+O82</f>
        <v>0</v>
      </c>
      <c r="F82" s="140" t="s">
        <v>82</v>
      </c>
      <c r="G82" s="142" t="s">
        <v>162</v>
      </c>
      <c r="H82" s="142" t="s">
        <v>163</v>
      </c>
      <c r="I82" s="142" t="s">
        <v>164</v>
      </c>
      <c r="J82" s="142" t="s">
        <v>165</v>
      </c>
      <c r="K82" s="143">
        <v>0</v>
      </c>
      <c r="L82" s="143"/>
      <c r="M82" s="143"/>
      <c r="N82" s="143">
        <v>0</v>
      </c>
      <c r="O82" s="143">
        <v>0</v>
      </c>
      <c r="P82" s="129" t="b">
        <f t="shared" si="10"/>
        <v>1</v>
      </c>
      <c r="Q82" s="137"/>
      <c r="R82" s="144" t="s">
        <v>166</v>
      </c>
      <c r="S82" s="145" t="s">
        <v>167</v>
      </c>
      <c r="T82" s="146" t="s">
        <v>168</v>
      </c>
      <c r="U82" s="147" t="s">
        <v>169</v>
      </c>
    </row>
    <row r="83" spans="1:21" s="86" customFormat="1" ht="29.25" customHeight="1" thickBot="1">
      <c r="A83" s="132" t="s">
        <v>28</v>
      </c>
      <c r="B83" s="133" t="s">
        <v>29</v>
      </c>
      <c r="C83" s="134" t="s">
        <v>27</v>
      </c>
      <c r="D83" s="134"/>
      <c r="E83" s="134">
        <v>0</v>
      </c>
      <c r="F83" s="135"/>
      <c r="G83" s="135"/>
      <c r="H83" s="135"/>
      <c r="I83" s="135"/>
      <c r="J83" s="134"/>
      <c r="K83" s="134">
        <v>0</v>
      </c>
      <c r="L83" s="134">
        <v>0</v>
      </c>
      <c r="M83" s="134">
        <v>0</v>
      </c>
      <c r="N83" s="134">
        <v>0</v>
      </c>
      <c r="O83" s="134">
        <v>0</v>
      </c>
      <c r="P83" s="129" t="b">
        <f t="shared" si="10"/>
        <v>1</v>
      </c>
      <c r="Q83" s="137"/>
      <c r="R83" s="137"/>
      <c r="S83" s="137"/>
      <c r="T83" s="138"/>
      <c r="U83" s="137"/>
    </row>
    <row r="84" spans="1:21" ht="29.25" thickBot="1">
      <c r="A84" s="148" t="s">
        <v>30</v>
      </c>
      <c r="B84" s="149" t="s">
        <v>31</v>
      </c>
      <c r="C84" s="150"/>
      <c r="D84" s="151">
        <f>D85+D125+D136+D137</f>
        <v>50</v>
      </c>
      <c r="E84" s="151">
        <f>E85+E125+E136+E137</f>
        <v>208553</v>
      </c>
      <c r="F84" s="150"/>
      <c r="G84" s="150"/>
      <c r="H84" s="150"/>
      <c r="I84" s="152"/>
      <c r="J84" s="150"/>
      <c r="K84" s="151">
        <f>K85+K125+K136+K137</f>
        <v>66145</v>
      </c>
      <c r="L84" s="151">
        <f>L85+L125+L136+L137</f>
        <v>26800</v>
      </c>
      <c r="M84" s="151">
        <f>M85+M125+M136+M137</f>
        <v>39800</v>
      </c>
      <c r="N84" s="151">
        <f>N85+N125+N136+N137</f>
        <v>20158</v>
      </c>
      <c r="O84" s="151">
        <f>O85+O125+O136+O137</f>
        <v>55650</v>
      </c>
      <c r="P84" s="129" t="b">
        <f t="shared" si="10"/>
        <v>1</v>
      </c>
      <c r="Q84" s="153"/>
      <c r="R84" s="154"/>
      <c r="S84" s="154"/>
      <c r="T84" s="155"/>
      <c r="U84" s="156"/>
    </row>
    <row r="85" spans="1:21" s="86" customFormat="1" ht="16.5" thickBot="1">
      <c r="A85" s="157" t="s">
        <v>32</v>
      </c>
      <c r="B85" s="158" t="s">
        <v>21</v>
      </c>
      <c r="C85" s="159" t="s">
        <v>22</v>
      </c>
      <c r="D85" s="160">
        <f t="shared" ref="D85:E85" si="11">SUM(D86:D124)</f>
        <v>39</v>
      </c>
      <c r="E85" s="160">
        <f t="shared" si="11"/>
        <v>186923</v>
      </c>
      <c r="F85" s="161"/>
      <c r="G85" s="161"/>
      <c r="H85" s="161"/>
      <c r="I85" s="161"/>
      <c r="J85" s="159"/>
      <c r="K85" s="160">
        <f t="shared" ref="K85:O85" si="12">SUM(K86:K124)</f>
        <v>66145</v>
      </c>
      <c r="L85" s="160">
        <f t="shared" si="12"/>
        <v>26800</v>
      </c>
      <c r="M85" s="160">
        <f t="shared" si="12"/>
        <v>38500</v>
      </c>
      <c r="N85" s="160">
        <f t="shared" si="12"/>
        <v>15228</v>
      </c>
      <c r="O85" s="160">
        <f t="shared" si="12"/>
        <v>40250</v>
      </c>
      <c r="P85" s="119" t="b">
        <f t="shared" si="10"/>
        <v>1</v>
      </c>
      <c r="Q85" s="162"/>
      <c r="R85" s="163"/>
      <c r="S85" s="163"/>
      <c r="T85" s="164"/>
      <c r="U85" s="163"/>
    </row>
    <row r="86" spans="1:21" s="86" customFormat="1" ht="114" customHeight="1" thickBot="1">
      <c r="A86" s="165" t="s">
        <v>54</v>
      </c>
      <c r="B86" s="166" t="s">
        <v>170</v>
      </c>
      <c r="C86" s="167" t="s">
        <v>22</v>
      </c>
      <c r="D86" s="167">
        <v>1</v>
      </c>
      <c r="E86" s="168">
        <f t="shared" ref="E86:E124" si="13">K86+L86+M86+N86+O86</f>
        <v>50215</v>
      </c>
      <c r="F86" s="167" t="s">
        <v>56</v>
      </c>
      <c r="G86" s="167" t="s">
        <v>102</v>
      </c>
      <c r="H86" s="167" t="s">
        <v>171</v>
      </c>
      <c r="I86" s="167" t="s">
        <v>97</v>
      </c>
      <c r="J86" s="167" t="s">
        <v>92</v>
      </c>
      <c r="K86" s="168">
        <f>24915</f>
        <v>24915</v>
      </c>
      <c r="L86" s="167">
        <f>25235+65</f>
        <v>25300</v>
      </c>
      <c r="M86" s="167">
        <v>0</v>
      </c>
      <c r="N86" s="167">
        <v>0</v>
      </c>
      <c r="O86" s="169">
        <v>0</v>
      </c>
      <c r="P86" s="129" t="b">
        <f t="shared" si="10"/>
        <v>1</v>
      </c>
      <c r="Q86" s="162">
        <v>0</v>
      </c>
      <c r="R86" s="163" t="s">
        <v>61</v>
      </c>
      <c r="S86" s="163" t="s">
        <v>172</v>
      </c>
      <c r="T86" s="164" t="s">
        <v>173</v>
      </c>
      <c r="U86" s="164" t="s">
        <v>174</v>
      </c>
    </row>
    <row r="87" spans="1:21" s="86" customFormat="1" ht="75.75" thickBot="1">
      <c r="A87" s="170" t="s">
        <v>75</v>
      </c>
      <c r="B87" s="166" t="s">
        <v>175</v>
      </c>
      <c r="C87" s="167" t="s">
        <v>22</v>
      </c>
      <c r="D87" s="167">
        <v>1</v>
      </c>
      <c r="E87" s="168">
        <f t="shared" si="13"/>
        <v>5500</v>
      </c>
      <c r="F87" s="167" t="s">
        <v>82</v>
      </c>
      <c r="G87" s="167" t="s">
        <v>72</v>
      </c>
      <c r="H87" s="167" t="s">
        <v>73</v>
      </c>
      <c r="I87" s="167" t="s">
        <v>119</v>
      </c>
      <c r="J87" s="167" t="s">
        <v>60</v>
      </c>
      <c r="K87" s="167"/>
      <c r="L87" s="168">
        <v>0</v>
      </c>
      <c r="M87" s="167">
        <v>5500</v>
      </c>
      <c r="N87" s="167">
        <v>0</v>
      </c>
      <c r="O87" s="169">
        <v>0</v>
      </c>
      <c r="P87" s="129" t="b">
        <f t="shared" si="10"/>
        <v>1</v>
      </c>
      <c r="Q87" s="162">
        <v>0</v>
      </c>
      <c r="R87" s="163" t="s">
        <v>61</v>
      </c>
      <c r="S87" s="163" t="s">
        <v>176</v>
      </c>
      <c r="T87" s="164" t="s">
        <v>177</v>
      </c>
      <c r="U87" s="163" t="s">
        <v>178</v>
      </c>
    </row>
    <row r="88" spans="1:21" s="86" customFormat="1" ht="75.75" thickBot="1">
      <c r="A88" s="170" t="s">
        <v>80</v>
      </c>
      <c r="B88" s="166" t="s">
        <v>179</v>
      </c>
      <c r="C88" s="167" t="s">
        <v>22</v>
      </c>
      <c r="D88" s="167">
        <v>1</v>
      </c>
      <c r="E88" s="168">
        <f t="shared" si="13"/>
        <v>7626</v>
      </c>
      <c r="F88" s="167" t="s">
        <v>82</v>
      </c>
      <c r="G88" s="167" t="s">
        <v>119</v>
      </c>
      <c r="H88" s="167" t="s">
        <v>120</v>
      </c>
      <c r="I88" s="167" t="s">
        <v>66</v>
      </c>
      <c r="J88" s="167" t="s">
        <v>67</v>
      </c>
      <c r="K88" s="167">
        <v>0</v>
      </c>
      <c r="L88" s="167">
        <v>0</v>
      </c>
      <c r="M88" s="167">
        <v>350</v>
      </c>
      <c r="N88" s="168">
        <f>6700+576</f>
        <v>7276</v>
      </c>
      <c r="O88" s="171">
        <v>0</v>
      </c>
      <c r="P88" s="129" t="b">
        <f t="shared" si="10"/>
        <v>1</v>
      </c>
      <c r="Q88" s="162">
        <v>0</v>
      </c>
      <c r="R88" s="163" t="s">
        <v>61</v>
      </c>
      <c r="S88" s="163" t="s">
        <v>167</v>
      </c>
      <c r="T88" s="164" t="s">
        <v>180</v>
      </c>
      <c r="U88" s="163" t="s">
        <v>181</v>
      </c>
    </row>
    <row r="89" spans="1:21" s="86" customFormat="1" ht="75.75" thickBot="1">
      <c r="A89" s="170" t="s">
        <v>88</v>
      </c>
      <c r="B89" s="166" t="s">
        <v>182</v>
      </c>
      <c r="C89" s="167" t="s">
        <v>22</v>
      </c>
      <c r="D89" s="167">
        <v>1</v>
      </c>
      <c r="E89" s="168">
        <f t="shared" si="13"/>
        <v>3650</v>
      </c>
      <c r="F89" s="167" t="s">
        <v>82</v>
      </c>
      <c r="G89" s="167" t="s">
        <v>104</v>
      </c>
      <c r="H89" s="167" t="s">
        <v>67</v>
      </c>
      <c r="I89" s="167" t="s">
        <v>140</v>
      </c>
      <c r="J89" s="167" t="s">
        <v>183</v>
      </c>
      <c r="K89" s="167">
        <v>0</v>
      </c>
      <c r="L89" s="167">
        <v>0</v>
      </c>
      <c r="M89" s="167">
        <v>0</v>
      </c>
      <c r="N89" s="168">
        <v>250</v>
      </c>
      <c r="O89" s="171">
        <v>3400</v>
      </c>
      <c r="P89" s="129" t="b">
        <f t="shared" si="10"/>
        <v>1</v>
      </c>
      <c r="Q89" s="162">
        <v>0</v>
      </c>
      <c r="R89" s="163" t="s">
        <v>61</v>
      </c>
      <c r="S89" s="163" t="s">
        <v>167</v>
      </c>
      <c r="T89" s="164" t="s">
        <v>184</v>
      </c>
      <c r="U89" s="163" t="s">
        <v>185</v>
      </c>
    </row>
    <row r="90" spans="1:21" s="86" customFormat="1" ht="75.75" thickBot="1">
      <c r="A90" s="170" t="s">
        <v>100</v>
      </c>
      <c r="B90" s="166" t="s">
        <v>186</v>
      </c>
      <c r="C90" s="167" t="s">
        <v>22</v>
      </c>
      <c r="D90" s="167">
        <v>1</v>
      </c>
      <c r="E90" s="168">
        <f t="shared" si="13"/>
        <v>3800</v>
      </c>
      <c r="F90" s="167" t="s">
        <v>82</v>
      </c>
      <c r="G90" s="167" t="s">
        <v>72</v>
      </c>
      <c r="H90" s="167" t="s">
        <v>98</v>
      </c>
      <c r="I90" s="167" t="s">
        <v>59</v>
      </c>
      <c r="J90" s="167" t="s">
        <v>120</v>
      </c>
      <c r="K90" s="167"/>
      <c r="L90" s="167">
        <v>0</v>
      </c>
      <c r="M90" s="167">
        <v>3800</v>
      </c>
      <c r="N90" s="167">
        <v>0</v>
      </c>
      <c r="O90" s="169">
        <v>0</v>
      </c>
      <c r="P90" s="129" t="b">
        <f t="shared" si="10"/>
        <v>1</v>
      </c>
      <c r="Q90" s="162">
        <v>0</v>
      </c>
      <c r="R90" s="163" t="s">
        <v>61</v>
      </c>
      <c r="S90" s="163" t="s">
        <v>167</v>
      </c>
      <c r="T90" s="164" t="s">
        <v>187</v>
      </c>
      <c r="U90" s="164" t="s">
        <v>188</v>
      </c>
    </row>
    <row r="91" spans="1:21" s="86" customFormat="1" ht="75.75" thickBot="1">
      <c r="A91" s="170" t="s">
        <v>106</v>
      </c>
      <c r="B91" s="166" t="s">
        <v>189</v>
      </c>
      <c r="C91" s="167" t="s">
        <v>22</v>
      </c>
      <c r="D91" s="167">
        <v>1</v>
      </c>
      <c r="E91" s="168">
        <f t="shared" si="13"/>
        <v>350</v>
      </c>
      <c r="F91" s="167" t="s">
        <v>82</v>
      </c>
      <c r="G91" s="167" t="s">
        <v>140</v>
      </c>
      <c r="H91" s="167" t="s">
        <v>141</v>
      </c>
      <c r="I91" s="167" t="s">
        <v>85</v>
      </c>
      <c r="J91" s="167" t="s">
        <v>190</v>
      </c>
      <c r="K91" s="167">
        <v>0</v>
      </c>
      <c r="L91" s="168">
        <v>0</v>
      </c>
      <c r="M91" s="167">
        <v>0</v>
      </c>
      <c r="N91" s="167">
        <v>0</v>
      </c>
      <c r="O91" s="169">
        <v>350</v>
      </c>
      <c r="P91" s="129" t="b">
        <f t="shared" si="10"/>
        <v>1</v>
      </c>
      <c r="Q91" s="162">
        <v>0</v>
      </c>
      <c r="R91" s="163" t="s">
        <v>61</v>
      </c>
      <c r="S91" s="163" t="s">
        <v>167</v>
      </c>
      <c r="T91" s="164" t="s">
        <v>187</v>
      </c>
      <c r="U91" s="164" t="s">
        <v>191</v>
      </c>
    </row>
    <row r="92" spans="1:21" s="86" customFormat="1" ht="75.75" thickBot="1">
      <c r="A92" s="172" t="s">
        <v>110</v>
      </c>
      <c r="B92" s="166" t="s">
        <v>192</v>
      </c>
      <c r="C92" s="167" t="s">
        <v>22</v>
      </c>
      <c r="D92" s="167">
        <v>1</v>
      </c>
      <c r="E92" s="168">
        <f t="shared" si="13"/>
        <v>4200</v>
      </c>
      <c r="F92" s="167" t="s">
        <v>82</v>
      </c>
      <c r="G92" s="167" t="s">
        <v>97</v>
      </c>
      <c r="H92" s="167" t="s">
        <v>98</v>
      </c>
      <c r="I92" s="167" t="s">
        <v>119</v>
      </c>
      <c r="J92" s="167" t="s">
        <v>60</v>
      </c>
      <c r="K92" s="167"/>
      <c r="L92" s="168">
        <v>0</v>
      </c>
      <c r="M92" s="167">
        <v>4200</v>
      </c>
      <c r="N92" s="167">
        <v>0</v>
      </c>
      <c r="O92" s="169">
        <v>0</v>
      </c>
      <c r="P92" s="129" t="b">
        <f t="shared" si="10"/>
        <v>1</v>
      </c>
      <c r="Q92" s="162">
        <v>0</v>
      </c>
      <c r="R92" s="163" t="s">
        <v>61</v>
      </c>
      <c r="S92" s="163" t="s">
        <v>167</v>
      </c>
      <c r="T92" s="164" t="s">
        <v>193</v>
      </c>
      <c r="U92" s="164" t="s">
        <v>194</v>
      </c>
    </row>
    <row r="93" spans="1:21" s="86" customFormat="1" ht="75.75" thickBot="1">
      <c r="A93" s="172" t="s">
        <v>113</v>
      </c>
      <c r="B93" s="166" t="s">
        <v>195</v>
      </c>
      <c r="C93" s="167" t="s">
        <v>22</v>
      </c>
      <c r="D93" s="167">
        <v>1</v>
      </c>
      <c r="E93" s="168">
        <f t="shared" si="13"/>
        <v>50</v>
      </c>
      <c r="F93" s="167" t="s">
        <v>82</v>
      </c>
      <c r="G93" s="167" t="s">
        <v>140</v>
      </c>
      <c r="H93" s="167" t="s">
        <v>141</v>
      </c>
      <c r="I93" s="167" t="s">
        <v>85</v>
      </c>
      <c r="J93" s="167" t="s">
        <v>196</v>
      </c>
      <c r="K93" s="167">
        <v>0</v>
      </c>
      <c r="L93" s="167">
        <v>0</v>
      </c>
      <c r="M93" s="167">
        <v>0</v>
      </c>
      <c r="N93" s="167">
        <v>0</v>
      </c>
      <c r="O93" s="169">
        <v>50</v>
      </c>
      <c r="P93" s="129" t="b">
        <f t="shared" si="10"/>
        <v>1</v>
      </c>
      <c r="Q93" s="162">
        <v>0</v>
      </c>
      <c r="R93" s="163" t="s">
        <v>61</v>
      </c>
      <c r="S93" s="163" t="s">
        <v>167</v>
      </c>
      <c r="T93" s="164" t="s">
        <v>197</v>
      </c>
      <c r="U93" s="163" t="s">
        <v>198</v>
      </c>
    </row>
    <row r="94" spans="1:21" s="86" customFormat="1" ht="75.75" thickBot="1">
      <c r="A94" s="172" t="s">
        <v>117</v>
      </c>
      <c r="B94" s="166" t="s">
        <v>199</v>
      </c>
      <c r="C94" s="167" t="s">
        <v>22</v>
      </c>
      <c r="D94" s="167">
        <v>1</v>
      </c>
      <c r="E94" s="168">
        <f t="shared" si="13"/>
        <v>50</v>
      </c>
      <c r="F94" s="167" t="s">
        <v>82</v>
      </c>
      <c r="G94" s="167" t="s">
        <v>140</v>
      </c>
      <c r="H94" s="167" t="s">
        <v>141</v>
      </c>
      <c r="I94" s="167" t="s">
        <v>85</v>
      </c>
      <c r="J94" s="167" t="s">
        <v>196</v>
      </c>
      <c r="K94" s="167">
        <v>0</v>
      </c>
      <c r="L94" s="167">
        <v>0</v>
      </c>
      <c r="M94" s="167">
        <v>0</v>
      </c>
      <c r="N94" s="167">
        <v>0</v>
      </c>
      <c r="O94" s="169">
        <v>50</v>
      </c>
      <c r="P94" s="129" t="b">
        <f t="shared" si="10"/>
        <v>1</v>
      </c>
      <c r="Q94" s="162">
        <v>0</v>
      </c>
      <c r="R94" s="163" t="s">
        <v>61</v>
      </c>
      <c r="S94" s="163" t="s">
        <v>167</v>
      </c>
      <c r="T94" s="164" t="s">
        <v>200</v>
      </c>
      <c r="U94" s="163" t="s">
        <v>201</v>
      </c>
    </row>
    <row r="95" spans="1:21" s="86" customFormat="1" ht="120" customHeight="1" thickBot="1">
      <c r="A95" s="172" t="s">
        <v>202</v>
      </c>
      <c r="B95" s="166" t="s">
        <v>203</v>
      </c>
      <c r="C95" s="167" t="s">
        <v>22</v>
      </c>
      <c r="D95" s="167">
        <v>1</v>
      </c>
      <c r="E95" s="168">
        <f t="shared" si="13"/>
        <v>7000</v>
      </c>
      <c r="F95" s="167" t="s">
        <v>82</v>
      </c>
      <c r="G95" s="167" t="s">
        <v>97</v>
      </c>
      <c r="H95" s="167" t="s">
        <v>73</v>
      </c>
      <c r="I95" s="167" t="s">
        <v>119</v>
      </c>
      <c r="J95" s="167" t="s">
        <v>60</v>
      </c>
      <c r="K95" s="168"/>
      <c r="L95" s="168">
        <v>0</v>
      </c>
      <c r="M95" s="167">
        <v>7000</v>
      </c>
      <c r="N95" s="167">
        <v>0</v>
      </c>
      <c r="O95" s="169">
        <v>0</v>
      </c>
      <c r="P95" s="129" t="b">
        <f t="shared" si="10"/>
        <v>1</v>
      </c>
      <c r="Q95" s="162">
        <v>0</v>
      </c>
      <c r="R95" s="163" t="s">
        <v>61</v>
      </c>
      <c r="S95" s="163" t="s">
        <v>204</v>
      </c>
      <c r="T95" s="164" t="s">
        <v>205</v>
      </c>
      <c r="U95" s="173" t="s">
        <v>206</v>
      </c>
    </row>
    <row r="96" spans="1:21" s="86" customFormat="1" ht="75.75" thickBot="1">
      <c r="A96" s="172" t="s">
        <v>207</v>
      </c>
      <c r="B96" s="166" t="s">
        <v>208</v>
      </c>
      <c r="C96" s="167" t="s">
        <v>22</v>
      </c>
      <c r="D96" s="167">
        <v>1</v>
      </c>
      <c r="E96" s="168">
        <f t="shared" si="13"/>
        <v>1500</v>
      </c>
      <c r="F96" s="167" t="s">
        <v>82</v>
      </c>
      <c r="G96" s="167" t="s">
        <v>72</v>
      </c>
      <c r="H96" s="167" t="s">
        <v>98</v>
      </c>
      <c r="I96" s="167" t="s">
        <v>130</v>
      </c>
      <c r="J96" s="167" t="s">
        <v>108</v>
      </c>
      <c r="K96" s="167"/>
      <c r="L96" s="168">
        <v>1500</v>
      </c>
      <c r="M96" s="167"/>
      <c r="N96" s="167">
        <v>0</v>
      </c>
      <c r="O96" s="169">
        <v>0</v>
      </c>
      <c r="P96" s="129" t="b">
        <f t="shared" si="10"/>
        <v>1</v>
      </c>
      <c r="Q96" s="162">
        <v>0</v>
      </c>
      <c r="R96" s="163" t="s">
        <v>61</v>
      </c>
      <c r="S96" s="163" t="s">
        <v>204</v>
      </c>
      <c r="T96" s="164" t="s">
        <v>209</v>
      </c>
      <c r="U96" s="163" t="s">
        <v>210</v>
      </c>
    </row>
    <row r="97" spans="1:21" s="86" customFormat="1" ht="75.75" thickBot="1">
      <c r="A97" s="172" t="s">
        <v>122</v>
      </c>
      <c r="B97" s="166" t="s">
        <v>211</v>
      </c>
      <c r="C97" s="167" t="s">
        <v>22</v>
      </c>
      <c r="D97" s="167">
        <v>1</v>
      </c>
      <c r="E97" s="168">
        <f t="shared" si="13"/>
        <v>4000</v>
      </c>
      <c r="F97" s="167" t="s">
        <v>82</v>
      </c>
      <c r="G97" s="167" t="s">
        <v>104</v>
      </c>
      <c r="H97" s="167" t="s">
        <v>67</v>
      </c>
      <c r="I97" s="167" t="s">
        <v>140</v>
      </c>
      <c r="J97" s="167" t="s">
        <v>183</v>
      </c>
      <c r="K97" s="167">
        <v>0</v>
      </c>
      <c r="L97" s="168">
        <v>0</v>
      </c>
      <c r="M97" s="167">
        <v>0</v>
      </c>
      <c r="N97" s="167">
        <v>400</v>
      </c>
      <c r="O97" s="169">
        <v>3600</v>
      </c>
      <c r="P97" s="129" t="b">
        <f t="shared" si="10"/>
        <v>1</v>
      </c>
      <c r="Q97" s="162">
        <v>0</v>
      </c>
      <c r="R97" s="163" t="s">
        <v>61</v>
      </c>
      <c r="S97" s="163" t="s">
        <v>167</v>
      </c>
      <c r="T97" s="164" t="s">
        <v>212</v>
      </c>
      <c r="U97" s="163" t="s">
        <v>213</v>
      </c>
    </row>
    <row r="98" spans="1:21" s="86" customFormat="1" ht="75.75" thickBot="1">
      <c r="A98" s="172" t="s">
        <v>132</v>
      </c>
      <c r="B98" s="166" t="s">
        <v>214</v>
      </c>
      <c r="C98" s="167" t="s">
        <v>22</v>
      </c>
      <c r="D98" s="167">
        <v>1</v>
      </c>
      <c r="E98" s="168">
        <f t="shared" si="13"/>
        <v>200</v>
      </c>
      <c r="F98" s="167" t="s">
        <v>82</v>
      </c>
      <c r="G98" s="167" t="s">
        <v>140</v>
      </c>
      <c r="H98" s="167" t="s">
        <v>141</v>
      </c>
      <c r="I98" s="167" t="s">
        <v>85</v>
      </c>
      <c r="J98" s="167" t="s">
        <v>196</v>
      </c>
      <c r="K98" s="167">
        <v>0</v>
      </c>
      <c r="L98" s="167">
        <v>0</v>
      </c>
      <c r="M98" s="167">
        <v>0</v>
      </c>
      <c r="N98" s="167">
        <v>0</v>
      </c>
      <c r="O98" s="169">
        <v>200</v>
      </c>
      <c r="P98" s="129" t="b">
        <f t="shared" si="10"/>
        <v>1</v>
      </c>
      <c r="Q98" s="162">
        <v>0</v>
      </c>
      <c r="R98" s="163" t="s">
        <v>61</v>
      </c>
      <c r="S98" s="163" t="s">
        <v>204</v>
      </c>
      <c r="T98" s="164" t="s">
        <v>215</v>
      </c>
      <c r="U98" s="164" t="s">
        <v>216</v>
      </c>
    </row>
    <row r="99" spans="1:21" s="86" customFormat="1" ht="75.75" thickBot="1">
      <c r="A99" s="172" t="s">
        <v>217</v>
      </c>
      <c r="B99" s="166" t="s">
        <v>218</v>
      </c>
      <c r="C99" s="167" t="s">
        <v>22</v>
      </c>
      <c r="D99" s="167">
        <v>1</v>
      </c>
      <c r="E99" s="168">
        <f t="shared" si="13"/>
        <v>300</v>
      </c>
      <c r="F99" s="167" t="s">
        <v>82</v>
      </c>
      <c r="G99" s="167" t="s">
        <v>140</v>
      </c>
      <c r="H99" s="167" t="s">
        <v>141</v>
      </c>
      <c r="I99" s="167" t="s">
        <v>219</v>
      </c>
      <c r="J99" s="167" t="s">
        <v>196</v>
      </c>
      <c r="K99" s="167">
        <v>0</v>
      </c>
      <c r="L99" s="167">
        <v>0</v>
      </c>
      <c r="M99" s="167">
        <v>0</v>
      </c>
      <c r="N99" s="168">
        <v>0</v>
      </c>
      <c r="O99" s="171">
        <v>300</v>
      </c>
      <c r="P99" s="129" t="b">
        <f t="shared" si="10"/>
        <v>1</v>
      </c>
      <c r="Q99" s="162">
        <v>0</v>
      </c>
      <c r="R99" s="163" t="s">
        <v>61</v>
      </c>
      <c r="S99" s="163" t="s">
        <v>204</v>
      </c>
      <c r="T99" s="164" t="s">
        <v>220</v>
      </c>
      <c r="U99" s="164" t="s">
        <v>221</v>
      </c>
    </row>
    <row r="100" spans="1:21" s="86" customFormat="1" ht="75.75" thickBot="1">
      <c r="A100" s="172" t="s">
        <v>222</v>
      </c>
      <c r="B100" s="166" t="s">
        <v>223</v>
      </c>
      <c r="C100" s="167" t="s">
        <v>22</v>
      </c>
      <c r="D100" s="167">
        <v>1</v>
      </c>
      <c r="E100" s="168">
        <f t="shared" si="13"/>
        <v>250</v>
      </c>
      <c r="F100" s="167" t="s">
        <v>82</v>
      </c>
      <c r="G100" s="167" t="s">
        <v>140</v>
      </c>
      <c r="H100" s="167" t="s">
        <v>141</v>
      </c>
      <c r="I100" s="167" t="s">
        <v>219</v>
      </c>
      <c r="J100" s="167" t="s">
        <v>196</v>
      </c>
      <c r="K100" s="167">
        <v>0</v>
      </c>
      <c r="L100" s="167">
        <v>0</v>
      </c>
      <c r="M100" s="167">
        <v>0</v>
      </c>
      <c r="N100" s="168">
        <v>0</v>
      </c>
      <c r="O100" s="171">
        <v>250</v>
      </c>
      <c r="P100" s="129" t="b">
        <f t="shared" si="10"/>
        <v>1</v>
      </c>
      <c r="Q100" s="162">
        <v>0</v>
      </c>
      <c r="R100" s="163" t="s">
        <v>61</v>
      </c>
      <c r="S100" s="163" t="s">
        <v>204</v>
      </c>
      <c r="T100" s="164" t="s">
        <v>220</v>
      </c>
      <c r="U100" s="164" t="s">
        <v>224</v>
      </c>
    </row>
    <row r="101" spans="1:21" s="86" customFormat="1" ht="75.75" thickBot="1">
      <c r="A101" s="172" t="s">
        <v>135</v>
      </c>
      <c r="B101" s="166" t="s">
        <v>225</v>
      </c>
      <c r="C101" s="167" t="s">
        <v>22</v>
      </c>
      <c r="D101" s="167">
        <v>1</v>
      </c>
      <c r="E101" s="168">
        <f t="shared" si="13"/>
        <v>6500</v>
      </c>
      <c r="F101" s="167" t="s">
        <v>82</v>
      </c>
      <c r="G101" s="167" t="s">
        <v>72</v>
      </c>
      <c r="H101" s="167" t="s">
        <v>73</v>
      </c>
      <c r="I101" s="167" t="s">
        <v>59</v>
      </c>
      <c r="J101" s="167" t="s">
        <v>60</v>
      </c>
      <c r="K101" s="168"/>
      <c r="L101" s="167">
        <v>0</v>
      </c>
      <c r="M101" s="167">
        <v>6500</v>
      </c>
      <c r="N101" s="167">
        <v>0</v>
      </c>
      <c r="O101" s="169">
        <v>0</v>
      </c>
      <c r="P101" s="129" t="b">
        <f t="shared" si="10"/>
        <v>1</v>
      </c>
      <c r="Q101" s="162">
        <v>0</v>
      </c>
      <c r="R101" s="163" t="s">
        <v>61</v>
      </c>
      <c r="S101" s="163" t="s">
        <v>167</v>
      </c>
      <c r="T101" s="164" t="s">
        <v>226</v>
      </c>
      <c r="U101" s="164" t="s">
        <v>227</v>
      </c>
    </row>
    <row r="102" spans="1:21" s="86" customFormat="1" ht="75.75" thickBot="1">
      <c r="A102" s="172" t="s">
        <v>228</v>
      </c>
      <c r="B102" s="166" t="s">
        <v>229</v>
      </c>
      <c r="C102" s="167" t="s">
        <v>22</v>
      </c>
      <c r="D102" s="167">
        <v>1</v>
      </c>
      <c r="E102" s="168">
        <f t="shared" si="13"/>
        <v>18006</v>
      </c>
      <c r="F102" s="167" t="s">
        <v>56</v>
      </c>
      <c r="G102" s="167" t="s">
        <v>90</v>
      </c>
      <c r="H102" s="167" t="s">
        <v>78</v>
      </c>
      <c r="I102" s="167" t="s">
        <v>97</v>
      </c>
      <c r="J102" s="167" t="s">
        <v>98</v>
      </c>
      <c r="K102" s="167">
        <v>18006</v>
      </c>
      <c r="L102" s="167"/>
      <c r="M102" s="167">
        <v>0</v>
      </c>
      <c r="N102" s="167">
        <v>0</v>
      </c>
      <c r="O102" s="169">
        <v>0</v>
      </c>
      <c r="P102" s="129" t="b">
        <f t="shared" si="10"/>
        <v>1</v>
      </c>
      <c r="Q102" s="162">
        <v>0</v>
      </c>
      <c r="R102" s="163" t="s">
        <v>61</v>
      </c>
      <c r="S102" s="163" t="s">
        <v>167</v>
      </c>
      <c r="T102" s="164" t="s">
        <v>187</v>
      </c>
      <c r="U102" s="164" t="s">
        <v>230</v>
      </c>
    </row>
    <row r="103" spans="1:21" s="86" customFormat="1" ht="107.25" customHeight="1" thickBot="1">
      <c r="A103" s="172" t="s">
        <v>231</v>
      </c>
      <c r="B103" s="166" t="s">
        <v>232</v>
      </c>
      <c r="C103" s="167" t="s">
        <v>22</v>
      </c>
      <c r="D103" s="167">
        <v>1</v>
      </c>
      <c r="E103" s="168">
        <f t="shared" si="13"/>
        <v>21522</v>
      </c>
      <c r="F103" s="167" t="s">
        <v>56</v>
      </c>
      <c r="G103" s="167" t="s">
        <v>90</v>
      </c>
      <c r="H103" s="167" t="s">
        <v>78</v>
      </c>
      <c r="I103" s="167" t="s">
        <v>72</v>
      </c>
      <c r="J103" s="167" t="s">
        <v>73</v>
      </c>
      <c r="K103" s="167">
        <v>21522</v>
      </c>
      <c r="L103" s="167"/>
      <c r="M103" s="167">
        <v>0</v>
      </c>
      <c r="N103" s="167">
        <v>0</v>
      </c>
      <c r="O103" s="169">
        <v>0</v>
      </c>
      <c r="P103" s="129" t="b">
        <f t="shared" si="10"/>
        <v>1</v>
      </c>
      <c r="Q103" s="162">
        <v>0</v>
      </c>
      <c r="R103" s="163" t="s">
        <v>61</v>
      </c>
      <c r="S103" s="163" t="s">
        <v>167</v>
      </c>
      <c r="T103" s="164" t="s">
        <v>233</v>
      </c>
      <c r="U103" s="163" t="s">
        <v>234</v>
      </c>
    </row>
    <row r="104" spans="1:21" s="86" customFormat="1" ht="90" customHeight="1" thickBot="1">
      <c r="A104" s="172" t="s">
        <v>235</v>
      </c>
      <c r="B104" s="166" t="s">
        <v>236</v>
      </c>
      <c r="C104" s="167" t="s">
        <v>22</v>
      </c>
      <c r="D104" s="167">
        <v>1</v>
      </c>
      <c r="E104" s="168">
        <f t="shared" si="13"/>
        <v>3400</v>
      </c>
      <c r="F104" s="167" t="s">
        <v>82</v>
      </c>
      <c r="G104" s="167" t="s">
        <v>97</v>
      </c>
      <c r="H104" s="167" t="s">
        <v>98</v>
      </c>
      <c r="I104" s="167" t="s">
        <v>119</v>
      </c>
      <c r="J104" s="167" t="s">
        <v>60</v>
      </c>
      <c r="K104" s="167"/>
      <c r="L104" s="168">
        <v>0</v>
      </c>
      <c r="M104" s="167">
        <v>3400</v>
      </c>
      <c r="N104" s="167">
        <v>0</v>
      </c>
      <c r="O104" s="169">
        <v>0</v>
      </c>
      <c r="P104" s="129" t="b">
        <f t="shared" si="10"/>
        <v>1</v>
      </c>
      <c r="Q104" s="162">
        <v>0</v>
      </c>
      <c r="R104" s="163" t="s">
        <v>61</v>
      </c>
      <c r="S104" s="163" t="s">
        <v>167</v>
      </c>
      <c r="T104" s="164" t="s">
        <v>237</v>
      </c>
      <c r="U104" s="163" t="s">
        <v>238</v>
      </c>
    </row>
    <row r="105" spans="1:21" s="86" customFormat="1" ht="84" customHeight="1" thickBot="1">
      <c r="A105" s="172" t="s">
        <v>239</v>
      </c>
      <c r="B105" s="166" t="s">
        <v>240</v>
      </c>
      <c r="C105" s="167" t="s">
        <v>22</v>
      </c>
      <c r="D105" s="167">
        <v>1</v>
      </c>
      <c r="E105" s="168">
        <f t="shared" si="13"/>
        <v>300</v>
      </c>
      <c r="F105" s="167" t="s">
        <v>82</v>
      </c>
      <c r="G105" s="167" t="s">
        <v>140</v>
      </c>
      <c r="H105" s="167" t="s">
        <v>141</v>
      </c>
      <c r="I105" s="167" t="s">
        <v>85</v>
      </c>
      <c r="J105" s="167" t="s">
        <v>86</v>
      </c>
      <c r="K105" s="167">
        <v>0</v>
      </c>
      <c r="L105" s="168">
        <v>0</v>
      </c>
      <c r="M105" s="167">
        <v>0</v>
      </c>
      <c r="N105" s="167">
        <v>0</v>
      </c>
      <c r="O105" s="169">
        <v>300</v>
      </c>
      <c r="P105" s="129" t="b">
        <f t="shared" si="10"/>
        <v>1</v>
      </c>
      <c r="Q105" s="162">
        <v>0</v>
      </c>
      <c r="R105" s="163" t="s">
        <v>61</v>
      </c>
      <c r="S105" s="163" t="s">
        <v>167</v>
      </c>
      <c r="T105" s="164" t="s">
        <v>241</v>
      </c>
      <c r="U105" s="163" t="s">
        <v>242</v>
      </c>
    </row>
    <row r="106" spans="1:21" s="86" customFormat="1" ht="75.75" thickBot="1">
      <c r="A106" s="172" t="s">
        <v>138</v>
      </c>
      <c r="B106" s="174" t="s">
        <v>243</v>
      </c>
      <c r="C106" s="167" t="s">
        <v>22</v>
      </c>
      <c r="D106" s="167">
        <v>1</v>
      </c>
      <c r="E106" s="168">
        <f t="shared" si="13"/>
        <v>1400</v>
      </c>
      <c r="F106" s="167" t="s">
        <v>82</v>
      </c>
      <c r="G106" s="167" t="s">
        <v>119</v>
      </c>
      <c r="H106" s="167" t="s">
        <v>120</v>
      </c>
      <c r="I106" s="167" t="s">
        <v>104</v>
      </c>
      <c r="J106" s="167" t="s">
        <v>67</v>
      </c>
      <c r="K106" s="167">
        <v>0</v>
      </c>
      <c r="L106" s="167">
        <v>0</v>
      </c>
      <c r="M106" s="168">
        <v>100</v>
      </c>
      <c r="N106" s="167">
        <v>1300</v>
      </c>
      <c r="O106" s="169">
        <v>0</v>
      </c>
      <c r="P106" s="129" t="b">
        <f t="shared" si="10"/>
        <v>1</v>
      </c>
      <c r="Q106" s="162">
        <v>0</v>
      </c>
      <c r="R106" s="163" t="s">
        <v>61</v>
      </c>
      <c r="S106" s="163" t="s">
        <v>167</v>
      </c>
      <c r="T106" s="164" t="s">
        <v>244</v>
      </c>
      <c r="U106" s="163" t="s">
        <v>245</v>
      </c>
    </row>
    <row r="107" spans="1:21" s="86" customFormat="1" ht="75.75" thickBot="1">
      <c r="A107" s="172" t="s">
        <v>246</v>
      </c>
      <c r="B107" s="166" t="s">
        <v>247</v>
      </c>
      <c r="C107" s="167" t="s">
        <v>22</v>
      </c>
      <c r="D107" s="167">
        <v>1</v>
      </c>
      <c r="E107" s="168">
        <f t="shared" si="13"/>
        <v>2300</v>
      </c>
      <c r="F107" s="167" t="s">
        <v>82</v>
      </c>
      <c r="G107" s="167" t="s">
        <v>119</v>
      </c>
      <c r="H107" s="167" t="s">
        <v>120</v>
      </c>
      <c r="I107" s="167" t="s">
        <v>104</v>
      </c>
      <c r="J107" s="167" t="s">
        <v>67</v>
      </c>
      <c r="K107" s="167">
        <v>0</v>
      </c>
      <c r="L107" s="167">
        <v>0</v>
      </c>
      <c r="M107" s="167">
        <v>100</v>
      </c>
      <c r="N107" s="167">
        <v>2200</v>
      </c>
      <c r="O107" s="169">
        <v>0</v>
      </c>
      <c r="P107" s="129" t="b">
        <f t="shared" si="10"/>
        <v>1</v>
      </c>
      <c r="Q107" s="162">
        <v>0</v>
      </c>
      <c r="R107" s="163" t="s">
        <v>61</v>
      </c>
      <c r="S107" s="163" t="s">
        <v>167</v>
      </c>
      <c r="T107" s="164" t="s">
        <v>248</v>
      </c>
      <c r="U107" s="163" t="s">
        <v>249</v>
      </c>
    </row>
    <row r="108" spans="1:21" s="86" customFormat="1" ht="75.75" thickBot="1">
      <c r="A108" s="172" t="s">
        <v>250</v>
      </c>
      <c r="B108" s="166" t="s">
        <v>251</v>
      </c>
      <c r="C108" s="167" t="s">
        <v>22</v>
      </c>
      <c r="D108" s="167">
        <v>1</v>
      </c>
      <c r="E108" s="168">
        <f t="shared" si="13"/>
        <v>12600</v>
      </c>
      <c r="F108" s="167" t="s">
        <v>82</v>
      </c>
      <c r="G108" s="167" t="s">
        <v>104</v>
      </c>
      <c r="H108" s="167" t="s">
        <v>124</v>
      </c>
      <c r="I108" s="167" t="s">
        <v>140</v>
      </c>
      <c r="J108" s="167" t="s">
        <v>183</v>
      </c>
      <c r="K108" s="167">
        <v>0</v>
      </c>
      <c r="L108" s="168">
        <v>0</v>
      </c>
      <c r="M108" s="168">
        <v>0</v>
      </c>
      <c r="N108" s="167">
        <v>500</v>
      </c>
      <c r="O108" s="169">
        <v>12100</v>
      </c>
      <c r="P108" s="129" t="b">
        <f t="shared" si="10"/>
        <v>1</v>
      </c>
      <c r="Q108" s="162">
        <v>0</v>
      </c>
      <c r="R108" s="163" t="s">
        <v>61</v>
      </c>
      <c r="S108" s="163" t="s">
        <v>167</v>
      </c>
      <c r="T108" s="164" t="s">
        <v>252</v>
      </c>
      <c r="U108" s="163" t="s">
        <v>253</v>
      </c>
    </row>
    <row r="109" spans="1:21" s="86" customFormat="1" ht="75.75" thickBot="1">
      <c r="A109" s="172" t="s">
        <v>254</v>
      </c>
      <c r="B109" s="166" t="s">
        <v>255</v>
      </c>
      <c r="C109" s="167" t="s">
        <v>22</v>
      </c>
      <c r="D109" s="167">
        <v>1</v>
      </c>
      <c r="E109" s="168">
        <f t="shared" si="13"/>
        <v>400</v>
      </c>
      <c r="F109" s="167" t="s">
        <v>82</v>
      </c>
      <c r="G109" s="167" t="s">
        <v>140</v>
      </c>
      <c r="H109" s="167" t="s">
        <v>256</v>
      </c>
      <c r="I109" s="167" t="s">
        <v>104</v>
      </c>
      <c r="J109" s="167" t="s">
        <v>86</v>
      </c>
      <c r="K109" s="167">
        <v>0</v>
      </c>
      <c r="L109" s="167">
        <v>0</v>
      </c>
      <c r="M109" s="167">
        <v>0</v>
      </c>
      <c r="N109" s="168">
        <v>0</v>
      </c>
      <c r="O109" s="171">
        <v>400</v>
      </c>
      <c r="P109" s="129" t="b">
        <f t="shared" si="10"/>
        <v>1</v>
      </c>
      <c r="Q109" s="162">
        <v>0</v>
      </c>
      <c r="R109" s="163" t="s">
        <v>61</v>
      </c>
      <c r="S109" s="163" t="s">
        <v>167</v>
      </c>
      <c r="T109" s="164" t="s">
        <v>252</v>
      </c>
      <c r="U109" s="164" t="s">
        <v>257</v>
      </c>
    </row>
    <row r="110" spans="1:21" s="86" customFormat="1" ht="75.75" thickBot="1">
      <c r="A110" s="172" t="s">
        <v>258</v>
      </c>
      <c r="B110" s="166" t="s">
        <v>259</v>
      </c>
      <c r="C110" s="167" t="s">
        <v>22</v>
      </c>
      <c r="D110" s="167">
        <v>1</v>
      </c>
      <c r="E110" s="168">
        <f t="shared" si="13"/>
        <v>2200</v>
      </c>
      <c r="F110" s="167" t="s">
        <v>82</v>
      </c>
      <c r="G110" s="167" t="s">
        <v>72</v>
      </c>
      <c r="H110" s="167" t="s">
        <v>98</v>
      </c>
      <c r="I110" s="167" t="s">
        <v>260</v>
      </c>
      <c r="J110" s="167" t="s">
        <v>60</v>
      </c>
      <c r="K110" s="167"/>
      <c r="L110" s="167">
        <v>0</v>
      </c>
      <c r="M110" s="167">
        <v>2200</v>
      </c>
      <c r="N110" s="167">
        <v>0</v>
      </c>
      <c r="O110" s="169">
        <v>0</v>
      </c>
      <c r="P110" s="129" t="b">
        <f t="shared" si="10"/>
        <v>1</v>
      </c>
      <c r="Q110" s="162">
        <v>0</v>
      </c>
      <c r="R110" s="163" t="s">
        <v>61</v>
      </c>
      <c r="S110" s="163" t="s">
        <v>261</v>
      </c>
      <c r="T110" s="164" t="s">
        <v>262</v>
      </c>
      <c r="U110" s="164" t="s">
        <v>263</v>
      </c>
    </row>
    <row r="111" spans="1:21" s="86" customFormat="1" ht="75.75" thickBot="1">
      <c r="A111" s="172" t="s">
        <v>264</v>
      </c>
      <c r="B111" s="166" t="s">
        <v>265</v>
      </c>
      <c r="C111" s="167" t="s">
        <v>22</v>
      </c>
      <c r="D111" s="167">
        <v>1</v>
      </c>
      <c r="E111" s="168">
        <f t="shared" si="13"/>
        <v>1902</v>
      </c>
      <c r="F111" s="167" t="s">
        <v>82</v>
      </c>
      <c r="G111" s="167" t="s">
        <v>119</v>
      </c>
      <c r="H111" s="167" t="s">
        <v>120</v>
      </c>
      <c r="I111" s="167" t="s">
        <v>104</v>
      </c>
      <c r="J111" s="167" t="s">
        <v>124</v>
      </c>
      <c r="K111" s="167">
        <v>0</v>
      </c>
      <c r="L111" s="167">
        <v>0</v>
      </c>
      <c r="M111" s="167">
        <v>150</v>
      </c>
      <c r="N111" s="168">
        <v>1752</v>
      </c>
      <c r="O111" s="171">
        <v>0</v>
      </c>
      <c r="P111" s="129" t="b">
        <f t="shared" si="10"/>
        <v>1</v>
      </c>
      <c r="Q111" s="162">
        <v>0</v>
      </c>
      <c r="R111" s="163" t="s">
        <v>61</v>
      </c>
      <c r="S111" s="163" t="s">
        <v>167</v>
      </c>
      <c r="T111" s="164" t="s">
        <v>262</v>
      </c>
      <c r="U111" s="164" t="s">
        <v>266</v>
      </c>
    </row>
    <row r="112" spans="1:21" s="86" customFormat="1" ht="75.75" thickBot="1">
      <c r="A112" s="172" t="s">
        <v>267</v>
      </c>
      <c r="B112" s="166" t="s">
        <v>268</v>
      </c>
      <c r="C112" s="167" t="s">
        <v>22</v>
      </c>
      <c r="D112" s="167">
        <v>1</v>
      </c>
      <c r="E112" s="168">
        <f t="shared" si="13"/>
        <v>450</v>
      </c>
      <c r="F112" s="167" t="s">
        <v>82</v>
      </c>
      <c r="G112" s="167" t="s">
        <v>97</v>
      </c>
      <c r="H112" s="167" t="s">
        <v>269</v>
      </c>
      <c r="I112" s="167" t="s">
        <v>119</v>
      </c>
      <c r="J112" s="167" t="s">
        <v>120</v>
      </c>
      <c r="K112" s="167"/>
      <c r="L112" s="167">
        <v>0</v>
      </c>
      <c r="M112" s="167">
        <v>450</v>
      </c>
      <c r="N112" s="167">
        <v>0</v>
      </c>
      <c r="O112" s="169">
        <v>0</v>
      </c>
      <c r="P112" s="129" t="b">
        <f t="shared" si="10"/>
        <v>1</v>
      </c>
      <c r="Q112" s="162">
        <v>0</v>
      </c>
      <c r="R112" s="163" t="s">
        <v>61</v>
      </c>
      <c r="S112" s="163" t="s">
        <v>167</v>
      </c>
      <c r="T112" s="164" t="s">
        <v>270</v>
      </c>
      <c r="U112" s="164" t="s">
        <v>271</v>
      </c>
    </row>
    <row r="113" spans="1:21" s="86" customFormat="1" ht="75.75" thickBot="1">
      <c r="A113" s="172" t="s">
        <v>272</v>
      </c>
      <c r="B113" s="166" t="s">
        <v>273</v>
      </c>
      <c r="C113" s="167" t="s">
        <v>22</v>
      </c>
      <c r="D113" s="167">
        <v>1</v>
      </c>
      <c r="E113" s="168">
        <f t="shared" si="13"/>
        <v>150</v>
      </c>
      <c r="F113" s="167" t="s">
        <v>82</v>
      </c>
      <c r="G113" s="167" t="s">
        <v>140</v>
      </c>
      <c r="H113" s="167" t="s">
        <v>256</v>
      </c>
      <c r="I113" s="167" t="s">
        <v>85</v>
      </c>
      <c r="J113" s="167" t="s">
        <v>190</v>
      </c>
      <c r="K113" s="167">
        <v>0</v>
      </c>
      <c r="L113" s="167">
        <v>0</v>
      </c>
      <c r="M113" s="168">
        <v>0</v>
      </c>
      <c r="N113" s="167">
        <v>0</v>
      </c>
      <c r="O113" s="169">
        <v>150</v>
      </c>
      <c r="P113" s="129" t="b">
        <f t="shared" si="10"/>
        <v>1</v>
      </c>
      <c r="Q113" s="162">
        <v>0</v>
      </c>
      <c r="R113" s="163" t="s">
        <v>61</v>
      </c>
      <c r="S113" s="163" t="s">
        <v>261</v>
      </c>
      <c r="T113" s="164" t="s">
        <v>220</v>
      </c>
      <c r="U113" s="164" t="s">
        <v>274</v>
      </c>
    </row>
    <row r="114" spans="1:21" s="86" customFormat="1" ht="75.75" thickBot="1">
      <c r="A114" s="172" t="s">
        <v>275</v>
      </c>
      <c r="B114" s="166" t="s">
        <v>276</v>
      </c>
      <c r="C114" s="167" t="s">
        <v>22</v>
      </c>
      <c r="D114" s="167">
        <v>1</v>
      </c>
      <c r="E114" s="168">
        <f t="shared" si="13"/>
        <v>1702</v>
      </c>
      <c r="F114" s="167" t="s">
        <v>56</v>
      </c>
      <c r="G114" s="167" t="s">
        <v>277</v>
      </c>
      <c r="H114" s="175" t="s">
        <v>96</v>
      </c>
      <c r="I114" s="167" t="s">
        <v>72</v>
      </c>
      <c r="J114" s="167" t="s">
        <v>278</v>
      </c>
      <c r="K114" s="176">
        <v>1702</v>
      </c>
      <c r="L114" s="167">
        <v>0</v>
      </c>
      <c r="M114" s="168">
        <v>0</v>
      </c>
      <c r="N114" s="167">
        <v>0</v>
      </c>
      <c r="O114" s="169">
        <v>0</v>
      </c>
      <c r="P114" s="129" t="b">
        <f t="shared" si="10"/>
        <v>1</v>
      </c>
      <c r="Q114" s="162">
        <v>0</v>
      </c>
      <c r="R114" s="163" t="s">
        <v>61</v>
      </c>
      <c r="S114" s="163" t="s">
        <v>261</v>
      </c>
      <c r="T114" s="164" t="s">
        <v>220</v>
      </c>
      <c r="U114" s="164" t="s">
        <v>279</v>
      </c>
    </row>
    <row r="115" spans="1:21" s="86" customFormat="1" ht="75.75" thickBot="1">
      <c r="A115" s="172" t="s">
        <v>280</v>
      </c>
      <c r="B115" s="166" t="s">
        <v>281</v>
      </c>
      <c r="C115" s="167" t="s">
        <v>22</v>
      </c>
      <c r="D115" s="167">
        <v>1</v>
      </c>
      <c r="E115" s="168">
        <f t="shared" si="13"/>
        <v>500</v>
      </c>
      <c r="F115" s="167" t="s">
        <v>82</v>
      </c>
      <c r="G115" s="169" t="s">
        <v>140</v>
      </c>
      <c r="H115" s="177" t="s">
        <v>141</v>
      </c>
      <c r="I115" s="167" t="s">
        <v>282</v>
      </c>
      <c r="J115" s="167" t="s">
        <v>190</v>
      </c>
      <c r="K115" s="167">
        <v>0</v>
      </c>
      <c r="L115" s="167">
        <v>0</v>
      </c>
      <c r="M115" s="168">
        <v>0</v>
      </c>
      <c r="N115" s="167">
        <v>0</v>
      </c>
      <c r="O115" s="169">
        <v>500</v>
      </c>
      <c r="P115" s="129" t="b">
        <f t="shared" si="10"/>
        <v>1</v>
      </c>
      <c r="Q115" s="162">
        <v>0</v>
      </c>
      <c r="R115" s="163" t="s">
        <v>61</v>
      </c>
      <c r="S115" s="163" t="s">
        <v>261</v>
      </c>
      <c r="T115" s="164" t="s">
        <v>283</v>
      </c>
      <c r="U115" s="164" t="s">
        <v>284</v>
      </c>
    </row>
    <row r="116" spans="1:21" s="86" customFormat="1" ht="75.75" thickBot="1">
      <c r="A116" s="172" t="s">
        <v>285</v>
      </c>
      <c r="B116" s="166" t="s">
        <v>286</v>
      </c>
      <c r="C116" s="167" t="s">
        <v>22</v>
      </c>
      <c r="D116" s="167">
        <v>1</v>
      </c>
      <c r="E116" s="168">
        <f t="shared" si="13"/>
        <v>3250</v>
      </c>
      <c r="F116" s="167" t="s">
        <v>82</v>
      </c>
      <c r="G116" s="167" t="s">
        <v>104</v>
      </c>
      <c r="H116" s="167" t="s">
        <v>124</v>
      </c>
      <c r="I116" s="167" t="s">
        <v>140</v>
      </c>
      <c r="J116" s="167" t="s">
        <v>183</v>
      </c>
      <c r="K116" s="167">
        <v>0</v>
      </c>
      <c r="L116" s="167">
        <v>0</v>
      </c>
      <c r="M116" s="168">
        <v>0</v>
      </c>
      <c r="N116" s="167">
        <v>250</v>
      </c>
      <c r="O116" s="169">
        <v>3000</v>
      </c>
      <c r="P116" s="129" t="b">
        <f t="shared" si="10"/>
        <v>1</v>
      </c>
      <c r="Q116" s="162">
        <v>0</v>
      </c>
      <c r="R116" s="163" t="s">
        <v>61</v>
      </c>
      <c r="S116" s="163" t="s">
        <v>261</v>
      </c>
      <c r="T116" s="164" t="s">
        <v>287</v>
      </c>
      <c r="U116" s="163" t="s">
        <v>288</v>
      </c>
    </row>
    <row r="117" spans="1:21" s="86" customFormat="1" ht="75.75" thickBot="1">
      <c r="A117" s="172" t="s">
        <v>289</v>
      </c>
      <c r="B117" s="178" t="s">
        <v>290</v>
      </c>
      <c r="C117" s="167" t="s">
        <v>22</v>
      </c>
      <c r="D117" s="167">
        <v>1</v>
      </c>
      <c r="E117" s="168">
        <f t="shared" si="13"/>
        <v>2700</v>
      </c>
      <c r="F117" s="167" t="s">
        <v>82</v>
      </c>
      <c r="G117" s="167" t="s">
        <v>104</v>
      </c>
      <c r="H117" s="167" t="s">
        <v>124</v>
      </c>
      <c r="I117" s="167" t="s">
        <v>140</v>
      </c>
      <c r="J117" s="167" t="s">
        <v>183</v>
      </c>
      <c r="K117" s="167">
        <v>0</v>
      </c>
      <c r="L117" s="167">
        <v>0</v>
      </c>
      <c r="M117" s="168">
        <v>0</v>
      </c>
      <c r="N117" s="167">
        <v>200</v>
      </c>
      <c r="O117" s="169">
        <v>2500</v>
      </c>
      <c r="P117" s="129" t="b">
        <f t="shared" si="10"/>
        <v>1</v>
      </c>
      <c r="Q117" s="162">
        <v>0</v>
      </c>
      <c r="R117" s="163" t="s">
        <v>61</v>
      </c>
      <c r="S117" s="163" t="s">
        <v>261</v>
      </c>
      <c r="T117" s="164" t="s">
        <v>270</v>
      </c>
      <c r="U117" s="153" t="s">
        <v>291</v>
      </c>
    </row>
    <row r="118" spans="1:21" s="86" customFormat="1" ht="75.75" thickBot="1">
      <c r="A118" s="172" t="s">
        <v>292</v>
      </c>
      <c r="B118" s="166" t="s">
        <v>293</v>
      </c>
      <c r="C118" s="167" t="s">
        <v>22</v>
      </c>
      <c r="D118" s="167">
        <v>1</v>
      </c>
      <c r="E118" s="168">
        <f t="shared" si="13"/>
        <v>3800</v>
      </c>
      <c r="F118" s="167" t="s">
        <v>82</v>
      </c>
      <c r="G118" s="167" t="s">
        <v>104</v>
      </c>
      <c r="H118" s="167" t="s">
        <v>124</v>
      </c>
      <c r="I118" s="167" t="s">
        <v>140</v>
      </c>
      <c r="J118" s="167" t="s">
        <v>183</v>
      </c>
      <c r="K118" s="167">
        <v>0</v>
      </c>
      <c r="L118" s="167">
        <v>0</v>
      </c>
      <c r="M118" s="168">
        <v>0</v>
      </c>
      <c r="N118" s="167">
        <v>300</v>
      </c>
      <c r="O118" s="169">
        <v>3500</v>
      </c>
      <c r="P118" s="129" t="b">
        <f t="shared" si="10"/>
        <v>1</v>
      </c>
      <c r="Q118" s="162">
        <v>0</v>
      </c>
      <c r="R118" s="163" t="s">
        <v>61</v>
      </c>
      <c r="S118" s="163" t="s">
        <v>261</v>
      </c>
      <c r="T118" s="164" t="s">
        <v>294</v>
      </c>
      <c r="U118" s="163" t="s">
        <v>295</v>
      </c>
    </row>
    <row r="119" spans="1:21" s="86" customFormat="1" ht="75.75" thickBot="1">
      <c r="A119" s="172" t="s">
        <v>296</v>
      </c>
      <c r="B119" s="166" t="s">
        <v>297</v>
      </c>
      <c r="C119" s="167" t="s">
        <v>22</v>
      </c>
      <c r="D119" s="167">
        <v>1</v>
      </c>
      <c r="E119" s="168">
        <f t="shared" si="13"/>
        <v>3250</v>
      </c>
      <c r="F119" s="167" t="s">
        <v>82</v>
      </c>
      <c r="G119" s="167" t="s">
        <v>104</v>
      </c>
      <c r="H119" s="167" t="s">
        <v>124</v>
      </c>
      <c r="I119" s="167" t="s">
        <v>140</v>
      </c>
      <c r="J119" s="167" t="s">
        <v>183</v>
      </c>
      <c r="K119" s="167">
        <v>0</v>
      </c>
      <c r="L119" s="167">
        <v>0</v>
      </c>
      <c r="M119" s="168">
        <v>0</v>
      </c>
      <c r="N119" s="167">
        <v>250</v>
      </c>
      <c r="O119" s="169">
        <v>3000</v>
      </c>
      <c r="P119" s="129" t="b">
        <f t="shared" si="10"/>
        <v>1</v>
      </c>
      <c r="Q119" s="162">
        <v>0</v>
      </c>
      <c r="R119" s="163" t="s">
        <v>61</v>
      </c>
      <c r="S119" s="163" t="s">
        <v>261</v>
      </c>
      <c r="T119" s="164" t="s">
        <v>298</v>
      </c>
      <c r="U119" s="179" t="s">
        <v>299</v>
      </c>
    </row>
    <row r="120" spans="1:21" s="86" customFormat="1" ht="75.75" thickBot="1">
      <c r="A120" s="172" t="s">
        <v>300</v>
      </c>
      <c r="B120" s="166" t="s">
        <v>301</v>
      </c>
      <c r="C120" s="167" t="s">
        <v>22</v>
      </c>
      <c r="D120" s="167">
        <v>1</v>
      </c>
      <c r="E120" s="168">
        <f t="shared" si="13"/>
        <v>1500</v>
      </c>
      <c r="F120" s="167" t="s">
        <v>82</v>
      </c>
      <c r="G120" s="167" t="s">
        <v>72</v>
      </c>
      <c r="H120" s="167" t="s">
        <v>98</v>
      </c>
      <c r="I120" s="167" t="s">
        <v>59</v>
      </c>
      <c r="J120" s="167" t="s">
        <v>60</v>
      </c>
      <c r="K120" s="167"/>
      <c r="L120" s="167">
        <v>0</v>
      </c>
      <c r="M120" s="168">
        <v>1500</v>
      </c>
      <c r="N120" s="167">
        <v>0</v>
      </c>
      <c r="O120" s="169">
        <v>0</v>
      </c>
      <c r="P120" s="129" t="b">
        <f t="shared" si="10"/>
        <v>1</v>
      </c>
      <c r="Q120" s="162">
        <v>0</v>
      </c>
      <c r="R120" s="163" t="s">
        <v>61</v>
      </c>
      <c r="S120" s="163" t="s">
        <v>261</v>
      </c>
      <c r="T120" s="164" t="s">
        <v>220</v>
      </c>
      <c r="U120" s="163" t="s">
        <v>302</v>
      </c>
    </row>
    <row r="121" spans="1:21" s="86" customFormat="1" ht="75.75" thickBot="1">
      <c r="A121" s="172" t="s">
        <v>303</v>
      </c>
      <c r="B121" s="166" t="s">
        <v>304</v>
      </c>
      <c r="C121" s="167" t="s">
        <v>22</v>
      </c>
      <c r="D121" s="167">
        <v>1</v>
      </c>
      <c r="E121" s="168">
        <f t="shared" si="13"/>
        <v>1950</v>
      </c>
      <c r="F121" s="167" t="s">
        <v>82</v>
      </c>
      <c r="G121" s="167" t="s">
        <v>72</v>
      </c>
      <c r="H121" s="167" t="s">
        <v>98</v>
      </c>
      <c r="I121" s="167" t="s">
        <v>59</v>
      </c>
      <c r="J121" s="167" t="s">
        <v>60</v>
      </c>
      <c r="K121" s="167"/>
      <c r="L121" s="167">
        <v>0</v>
      </c>
      <c r="M121" s="168">
        <v>1950</v>
      </c>
      <c r="N121" s="167">
        <v>0</v>
      </c>
      <c r="O121" s="169">
        <v>0</v>
      </c>
      <c r="P121" s="129" t="b">
        <f t="shared" si="10"/>
        <v>1</v>
      </c>
      <c r="Q121" s="162">
        <v>0</v>
      </c>
      <c r="R121" s="163" t="s">
        <v>61</v>
      </c>
      <c r="S121" s="163" t="s">
        <v>261</v>
      </c>
      <c r="T121" s="164" t="s">
        <v>220</v>
      </c>
      <c r="U121" s="163" t="s">
        <v>305</v>
      </c>
    </row>
    <row r="122" spans="1:21" s="86" customFormat="1" ht="75.75" thickBot="1">
      <c r="A122" s="172" t="s">
        <v>306</v>
      </c>
      <c r="B122" s="166" t="s">
        <v>307</v>
      </c>
      <c r="C122" s="167" t="s">
        <v>22</v>
      </c>
      <c r="D122" s="167">
        <v>1</v>
      </c>
      <c r="E122" s="168">
        <f t="shared" si="13"/>
        <v>2150</v>
      </c>
      <c r="F122" s="167" t="s">
        <v>82</v>
      </c>
      <c r="G122" s="167" t="s">
        <v>104</v>
      </c>
      <c r="H122" s="167" t="s">
        <v>124</v>
      </c>
      <c r="I122" s="167" t="s">
        <v>140</v>
      </c>
      <c r="J122" s="167" t="s">
        <v>183</v>
      </c>
      <c r="K122" s="167">
        <v>0</v>
      </c>
      <c r="L122" s="167">
        <v>0</v>
      </c>
      <c r="M122" s="168">
        <v>0</v>
      </c>
      <c r="N122" s="167">
        <v>150</v>
      </c>
      <c r="O122" s="169">
        <v>2000</v>
      </c>
      <c r="P122" s="129" t="b">
        <f t="shared" si="10"/>
        <v>1</v>
      </c>
      <c r="Q122" s="162">
        <v>0</v>
      </c>
      <c r="R122" s="163" t="s">
        <v>61</v>
      </c>
      <c r="S122" s="163" t="s">
        <v>261</v>
      </c>
      <c r="T122" s="164" t="s">
        <v>220</v>
      </c>
      <c r="U122" s="163" t="s">
        <v>308</v>
      </c>
    </row>
    <row r="123" spans="1:21" s="86" customFormat="1" ht="75.75" thickBot="1">
      <c r="A123" s="172" t="s">
        <v>309</v>
      </c>
      <c r="B123" s="166" t="s">
        <v>310</v>
      </c>
      <c r="C123" s="167" t="s">
        <v>22</v>
      </c>
      <c r="D123" s="167">
        <v>1</v>
      </c>
      <c r="E123" s="168">
        <f t="shared" si="13"/>
        <v>2600</v>
      </c>
      <c r="F123" s="167" t="s">
        <v>82</v>
      </c>
      <c r="G123" s="167" t="s">
        <v>72</v>
      </c>
      <c r="H123" s="167" t="s">
        <v>98</v>
      </c>
      <c r="I123" s="167" t="s">
        <v>59</v>
      </c>
      <c r="J123" s="167" t="s">
        <v>183</v>
      </c>
      <c r="K123" s="167"/>
      <c r="L123" s="167">
        <v>0</v>
      </c>
      <c r="M123" s="168">
        <v>1300</v>
      </c>
      <c r="N123" s="167">
        <v>100</v>
      </c>
      <c r="O123" s="169">
        <v>1200</v>
      </c>
      <c r="P123" s="129" t="b">
        <f t="shared" si="10"/>
        <v>1</v>
      </c>
      <c r="Q123" s="162">
        <v>0</v>
      </c>
      <c r="R123" s="163" t="s">
        <v>61</v>
      </c>
      <c r="S123" s="163" t="s">
        <v>261</v>
      </c>
      <c r="T123" s="164" t="s">
        <v>262</v>
      </c>
      <c r="U123" s="163" t="s">
        <v>311</v>
      </c>
    </row>
    <row r="124" spans="1:21" s="86" customFormat="1" ht="75.75" thickBot="1">
      <c r="A124" s="172" t="s">
        <v>312</v>
      </c>
      <c r="B124" s="166" t="s">
        <v>313</v>
      </c>
      <c r="C124" s="167" t="s">
        <v>22</v>
      </c>
      <c r="D124" s="167">
        <v>1</v>
      </c>
      <c r="E124" s="168">
        <f t="shared" si="13"/>
        <v>3700</v>
      </c>
      <c r="F124" s="167" t="s">
        <v>82</v>
      </c>
      <c r="G124" s="167" t="s">
        <v>104</v>
      </c>
      <c r="H124" s="167" t="s">
        <v>124</v>
      </c>
      <c r="I124" s="167" t="s">
        <v>140</v>
      </c>
      <c r="J124" s="167" t="s">
        <v>183</v>
      </c>
      <c r="K124" s="167">
        <v>0</v>
      </c>
      <c r="L124" s="167">
        <v>0</v>
      </c>
      <c r="M124" s="168">
        <v>0</v>
      </c>
      <c r="N124" s="167">
        <v>300</v>
      </c>
      <c r="O124" s="169">
        <v>3400</v>
      </c>
      <c r="P124" s="129" t="b">
        <f t="shared" si="10"/>
        <v>1</v>
      </c>
      <c r="Q124" s="162">
        <v>0</v>
      </c>
      <c r="R124" s="163" t="s">
        <v>61</v>
      </c>
      <c r="S124" s="163" t="s">
        <v>261</v>
      </c>
      <c r="T124" s="164" t="s">
        <v>220</v>
      </c>
      <c r="U124" s="163" t="s">
        <v>314</v>
      </c>
    </row>
    <row r="125" spans="1:21" s="86" customFormat="1" ht="15.75" customHeight="1" thickBot="1">
      <c r="A125" s="170" t="s">
        <v>33</v>
      </c>
      <c r="B125" s="166" t="s">
        <v>24</v>
      </c>
      <c r="C125" s="167" t="s">
        <v>22</v>
      </c>
      <c r="D125" s="167">
        <f t="shared" ref="D125:E125" si="14">SUM(D126:D135)</f>
        <v>10</v>
      </c>
      <c r="E125" s="176">
        <f t="shared" si="14"/>
        <v>18800</v>
      </c>
      <c r="F125" s="167"/>
      <c r="G125" s="167"/>
      <c r="H125" s="167"/>
      <c r="I125" s="167"/>
      <c r="J125" s="167"/>
      <c r="K125" s="176">
        <f>SUM(K126:K135)</f>
        <v>0</v>
      </c>
      <c r="L125" s="176">
        <f t="shared" ref="L125:O125" si="15">SUM(L126:L135)</f>
        <v>0</v>
      </c>
      <c r="M125" s="176">
        <f t="shared" si="15"/>
        <v>1150</v>
      </c>
      <c r="N125" s="176">
        <f t="shared" si="15"/>
        <v>2250</v>
      </c>
      <c r="O125" s="176">
        <f t="shared" si="15"/>
        <v>15400</v>
      </c>
      <c r="P125" s="129" t="b">
        <f t="shared" si="10"/>
        <v>1</v>
      </c>
      <c r="Q125" s="162"/>
      <c r="R125" s="163"/>
      <c r="S125" s="163"/>
      <c r="T125" s="164"/>
      <c r="U125" s="163"/>
    </row>
    <row r="126" spans="1:21" s="86" customFormat="1" ht="75.75" thickBot="1">
      <c r="A126" s="170" t="s">
        <v>315</v>
      </c>
      <c r="B126" s="166" t="s">
        <v>316</v>
      </c>
      <c r="C126" s="167" t="s">
        <v>22</v>
      </c>
      <c r="D126" s="167">
        <v>1</v>
      </c>
      <c r="E126" s="168">
        <f t="shared" ref="E126:E143" si="16">K126+L126+M126+N126+O126</f>
        <v>1050</v>
      </c>
      <c r="F126" s="167" t="s">
        <v>82</v>
      </c>
      <c r="G126" s="167" t="s">
        <v>97</v>
      </c>
      <c r="H126" s="167" t="s">
        <v>73</v>
      </c>
      <c r="I126" s="167" t="s">
        <v>59</v>
      </c>
      <c r="J126" s="167" t="s">
        <v>120</v>
      </c>
      <c r="K126" s="168"/>
      <c r="L126" s="167">
        <v>0</v>
      </c>
      <c r="M126" s="167">
        <v>1050</v>
      </c>
      <c r="N126" s="167">
        <v>0</v>
      </c>
      <c r="O126" s="169">
        <v>0</v>
      </c>
      <c r="P126" s="129" t="b">
        <f t="shared" si="10"/>
        <v>1</v>
      </c>
      <c r="Q126" s="162">
        <v>0</v>
      </c>
      <c r="R126" s="163" t="s">
        <v>61</v>
      </c>
      <c r="S126" s="163" t="s">
        <v>167</v>
      </c>
      <c r="T126" s="164" t="s">
        <v>317</v>
      </c>
      <c r="U126" s="163" t="s">
        <v>318</v>
      </c>
    </row>
    <row r="127" spans="1:21" s="86" customFormat="1" ht="75.75" thickBot="1">
      <c r="A127" s="170" t="s">
        <v>144</v>
      </c>
      <c r="B127" s="166" t="s">
        <v>319</v>
      </c>
      <c r="C127" s="167" t="s">
        <v>22</v>
      </c>
      <c r="D127" s="167">
        <v>1</v>
      </c>
      <c r="E127" s="168">
        <f t="shared" si="16"/>
        <v>5500</v>
      </c>
      <c r="F127" s="167" t="s">
        <v>82</v>
      </c>
      <c r="G127" s="167" t="s">
        <v>104</v>
      </c>
      <c r="H127" s="167" t="s">
        <v>67</v>
      </c>
      <c r="I127" s="167" t="s">
        <v>140</v>
      </c>
      <c r="J127" s="167" t="s">
        <v>141</v>
      </c>
      <c r="K127" s="168">
        <v>0</v>
      </c>
      <c r="L127" s="167">
        <v>0</v>
      </c>
      <c r="M127" s="167">
        <v>0</v>
      </c>
      <c r="N127" s="167">
        <v>400</v>
      </c>
      <c r="O127" s="169">
        <v>5100</v>
      </c>
      <c r="P127" s="129" t="b">
        <f t="shared" si="10"/>
        <v>1</v>
      </c>
      <c r="Q127" s="162">
        <v>0</v>
      </c>
      <c r="R127" s="163" t="s">
        <v>61</v>
      </c>
      <c r="S127" s="163" t="s">
        <v>167</v>
      </c>
      <c r="T127" s="164" t="s">
        <v>320</v>
      </c>
      <c r="U127" s="163" t="s">
        <v>321</v>
      </c>
    </row>
    <row r="128" spans="1:21" s="86" customFormat="1" ht="75.75" thickBot="1">
      <c r="A128" s="170" t="s">
        <v>322</v>
      </c>
      <c r="B128" s="166" t="s">
        <v>323</v>
      </c>
      <c r="C128" s="167" t="s">
        <v>22</v>
      </c>
      <c r="D128" s="167">
        <v>1</v>
      </c>
      <c r="E128" s="168">
        <f t="shared" si="16"/>
        <v>1400</v>
      </c>
      <c r="F128" s="167" t="s">
        <v>82</v>
      </c>
      <c r="G128" s="167" t="s">
        <v>104</v>
      </c>
      <c r="H128" s="167" t="s">
        <v>324</v>
      </c>
      <c r="I128" s="167" t="s">
        <v>140</v>
      </c>
      <c r="J128" s="167" t="s">
        <v>183</v>
      </c>
      <c r="K128" s="167">
        <v>0</v>
      </c>
      <c r="L128" s="167">
        <v>0</v>
      </c>
      <c r="M128" s="168">
        <v>0</v>
      </c>
      <c r="N128" s="167">
        <v>250</v>
      </c>
      <c r="O128" s="169">
        <v>1150</v>
      </c>
      <c r="P128" s="129" t="b">
        <f t="shared" si="10"/>
        <v>1</v>
      </c>
      <c r="Q128" s="162">
        <v>0</v>
      </c>
      <c r="R128" s="163" t="s">
        <v>61</v>
      </c>
      <c r="S128" s="163" t="s">
        <v>167</v>
      </c>
      <c r="T128" s="164" t="s">
        <v>226</v>
      </c>
      <c r="U128" s="163" t="s">
        <v>325</v>
      </c>
    </row>
    <row r="129" spans="1:21" s="86" customFormat="1" ht="90.75" thickBot="1">
      <c r="A129" s="172" t="s">
        <v>326</v>
      </c>
      <c r="B129" s="166" t="s">
        <v>327</v>
      </c>
      <c r="C129" s="167" t="s">
        <v>22</v>
      </c>
      <c r="D129" s="167">
        <v>1</v>
      </c>
      <c r="E129" s="168">
        <f t="shared" si="16"/>
        <v>50</v>
      </c>
      <c r="F129" s="167" t="s">
        <v>82</v>
      </c>
      <c r="G129" s="167" t="s">
        <v>140</v>
      </c>
      <c r="H129" s="167" t="s">
        <v>256</v>
      </c>
      <c r="I129" s="167" t="s">
        <v>85</v>
      </c>
      <c r="J129" s="167" t="s">
        <v>196</v>
      </c>
      <c r="K129" s="167">
        <v>0</v>
      </c>
      <c r="L129" s="167">
        <v>0</v>
      </c>
      <c r="M129" s="167">
        <v>0</v>
      </c>
      <c r="N129" s="167">
        <v>0</v>
      </c>
      <c r="O129" s="169">
        <v>50</v>
      </c>
      <c r="P129" s="129" t="b">
        <f t="shared" si="10"/>
        <v>1</v>
      </c>
      <c r="Q129" s="162">
        <v>0</v>
      </c>
      <c r="R129" s="163" t="s">
        <v>61</v>
      </c>
      <c r="S129" s="163" t="s">
        <v>261</v>
      </c>
      <c r="T129" s="164" t="s">
        <v>328</v>
      </c>
      <c r="U129" s="163" t="s">
        <v>329</v>
      </c>
    </row>
    <row r="130" spans="1:21" s="86" customFormat="1" ht="75.75" thickBot="1">
      <c r="A130" s="170" t="s">
        <v>330</v>
      </c>
      <c r="B130" s="166" t="s">
        <v>331</v>
      </c>
      <c r="C130" s="167" t="s">
        <v>22</v>
      </c>
      <c r="D130" s="167">
        <v>1</v>
      </c>
      <c r="E130" s="168">
        <f t="shared" si="16"/>
        <v>1400</v>
      </c>
      <c r="F130" s="167" t="s">
        <v>82</v>
      </c>
      <c r="G130" s="167" t="s">
        <v>104</v>
      </c>
      <c r="H130" s="167" t="s">
        <v>67</v>
      </c>
      <c r="I130" s="167" t="s">
        <v>140</v>
      </c>
      <c r="J130" s="167" t="s">
        <v>183</v>
      </c>
      <c r="K130" s="167">
        <v>0</v>
      </c>
      <c r="L130" s="167">
        <v>0</v>
      </c>
      <c r="M130" s="168">
        <v>0</v>
      </c>
      <c r="N130" s="167">
        <v>100</v>
      </c>
      <c r="O130" s="169">
        <v>1300</v>
      </c>
      <c r="P130" s="129" t="b">
        <f t="shared" si="10"/>
        <v>1</v>
      </c>
      <c r="Q130" s="162">
        <v>0</v>
      </c>
      <c r="R130" s="163" t="s">
        <v>61</v>
      </c>
      <c r="S130" s="163" t="s">
        <v>261</v>
      </c>
      <c r="T130" s="164" t="s">
        <v>332</v>
      </c>
      <c r="U130" s="163" t="s">
        <v>333</v>
      </c>
    </row>
    <row r="131" spans="1:21" s="86" customFormat="1" ht="75.75" thickBot="1">
      <c r="A131" s="170" t="s">
        <v>334</v>
      </c>
      <c r="B131" s="166" t="s">
        <v>335</v>
      </c>
      <c r="C131" s="167" t="s">
        <v>22</v>
      </c>
      <c r="D131" s="167">
        <v>1</v>
      </c>
      <c r="E131" s="168">
        <f t="shared" si="16"/>
        <v>1300</v>
      </c>
      <c r="F131" s="167" t="s">
        <v>82</v>
      </c>
      <c r="G131" s="167" t="s">
        <v>104</v>
      </c>
      <c r="H131" s="167" t="s">
        <v>124</v>
      </c>
      <c r="I131" s="167" t="s">
        <v>140</v>
      </c>
      <c r="J131" s="167" t="s">
        <v>183</v>
      </c>
      <c r="K131" s="167">
        <v>0</v>
      </c>
      <c r="L131" s="167">
        <v>0</v>
      </c>
      <c r="M131" s="168">
        <v>0</v>
      </c>
      <c r="N131" s="167">
        <v>100</v>
      </c>
      <c r="O131" s="169">
        <v>1200</v>
      </c>
      <c r="P131" s="129" t="b">
        <f t="shared" si="10"/>
        <v>1</v>
      </c>
      <c r="Q131" s="162">
        <v>0</v>
      </c>
      <c r="R131" s="163" t="s">
        <v>61</v>
      </c>
      <c r="S131" s="163" t="s">
        <v>261</v>
      </c>
      <c r="T131" s="164" t="s">
        <v>317</v>
      </c>
      <c r="U131" s="163" t="s">
        <v>336</v>
      </c>
    </row>
    <row r="132" spans="1:21" s="86" customFormat="1" ht="75.75" thickBot="1">
      <c r="A132" s="170" t="s">
        <v>337</v>
      </c>
      <c r="B132" s="166" t="s">
        <v>338</v>
      </c>
      <c r="C132" s="167" t="s">
        <v>22</v>
      </c>
      <c r="D132" s="167">
        <v>1</v>
      </c>
      <c r="E132" s="168">
        <f t="shared" si="16"/>
        <v>1000</v>
      </c>
      <c r="F132" s="167" t="s">
        <v>82</v>
      </c>
      <c r="G132" s="167" t="s">
        <v>119</v>
      </c>
      <c r="H132" s="167" t="s">
        <v>120</v>
      </c>
      <c r="I132" s="167" t="s">
        <v>66</v>
      </c>
      <c r="J132" s="167" t="s">
        <v>67</v>
      </c>
      <c r="K132" s="167">
        <v>0</v>
      </c>
      <c r="L132" s="167">
        <v>0</v>
      </c>
      <c r="M132" s="167">
        <v>100</v>
      </c>
      <c r="N132" s="167">
        <v>900</v>
      </c>
      <c r="O132" s="169">
        <v>0</v>
      </c>
      <c r="P132" s="129" t="b">
        <f t="shared" si="10"/>
        <v>1</v>
      </c>
      <c r="Q132" s="162">
        <v>0</v>
      </c>
      <c r="R132" s="163" t="s">
        <v>61</v>
      </c>
      <c r="S132" s="163" t="s">
        <v>167</v>
      </c>
      <c r="T132" s="164" t="s">
        <v>339</v>
      </c>
      <c r="U132" s="163" t="s">
        <v>340</v>
      </c>
    </row>
    <row r="133" spans="1:21" s="86" customFormat="1" ht="75.75" thickBot="1">
      <c r="A133" s="170" t="s">
        <v>341</v>
      </c>
      <c r="B133" s="166" t="s">
        <v>342</v>
      </c>
      <c r="C133" s="167" t="s">
        <v>22</v>
      </c>
      <c r="D133" s="167">
        <v>1</v>
      </c>
      <c r="E133" s="168">
        <f t="shared" si="16"/>
        <v>500</v>
      </c>
      <c r="F133" s="167" t="s">
        <v>82</v>
      </c>
      <c r="G133" s="167" t="s">
        <v>140</v>
      </c>
      <c r="H133" s="167" t="s">
        <v>141</v>
      </c>
      <c r="I133" s="167" t="s">
        <v>219</v>
      </c>
      <c r="J133" s="167" t="s">
        <v>86</v>
      </c>
      <c r="K133" s="167">
        <v>0</v>
      </c>
      <c r="L133" s="167">
        <v>0</v>
      </c>
      <c r="M133" s="167">
        <v>0</v>
      </c>
      <c r="N133" s="167">
        <v>0</v>
      </c>
      <c r="O133" s="169">
        <v>500</v>
      </c>
      <c r="P133" s="129" t="b">
        <f t="shared" si="10"/>
        <v>1</v>
      </c>
      <c r="Q133" s="162">
        <v>0</v>
      </c>
      <c r="R133" s="163" t="s">
        <v>61</v>
      </c>
      <c r="S133" s="163" t="s">
        <v>23</v>
      </c>
      <c r="T133" s="164" t="s">
        <v>343</v>
      </c>
      <c r="U133" s="163" t="s">
        <v>344</v>
      </c>
    </row>
    <row r="134" spans="1:21" s="86" customFormat="1" ht="75.75" thickBot="1">
      <c r="A134" s="170" t="s">
        <v>345</v>
      </c>
      <c r="B134" s="166" t="s">
        <v>346</v>
      </c>
      <c r="C134" s="167" t="s">
        <v>22</v>
      </c>
      <c r="D134" s="167">
        <v>1</v>
      </c>
      <c r="E134" s="168">
        <f t="shared" si="16"/>
        <v>3250</v>
      </c>
      <c r="F134" s="167" t="s">
        <v>82</v>
      </c>
      <c r="G134" s="167" t="s">
        <v>104</v>
      </c>
      <c r="H134" s="167" t="s">
        <v>124</v>
      </c>
      <c r="I134" s="167" t="s">
        <v>140</v>
      </c>
      <c r="J134" s="167" t="s">
        <v>183</v>
      </c>
      <c r="K134" s="167">
        <v>0</v>
      </c>
      <c r="L134" s="167">
        <v>0</v>
      </c>
      <c r="M134" s="167">
        <v>0</v>
      </c>
      <c r="N134" s="167">
        <v>250</v>
      </c>
      <c r="O134" s="169">
        <v>3000</v>
      </c>
      <c r="P134" s="129" t="b">
        <f t="shared" si="10"/>
        <v>1</v>
      </c>
      <c r="Q134" s="162">
        <v>0</v>
      </c>
      <c r="R134" s="163" t="s">
        <v>61</v>
      </c>
      <c r="S134" s="163" t="s">
        <v>23</v>
      </c>
      <c r="T134" s="164" t="s">
        <v>347</v>
      </c>
      <c r="U134" s="163" t="s">
        <v>348</v>
      </c>
    </row>
    <row r="135" spans="1:21" s="86" customFormat="1" ht="75.75" thickBot="1">
      <c r="A135" s="170" t="s">
        <v>349</v>
      </c>
      <c r="B135" s="166" t="s">
        <v>350</v>
      </c>
      <c r="C135" s="167" t="s">
        <v>22</v>
      </c>
      <c r="D135" s="167">
        <v>1</v>
      </c>
      <c r="E135" s="168">
        <f t="shared" si="16"/>
        <v>3350</v>
      </c>
      <c r="F135" s="167" t="s">
        <v>82</v>
      </c>
      <c r="G135" s="167" t="s">
        <v>104</v>
      </c>
      <c r="H135" s="167" t="s">
        <v>124</v>
      </c>
      <c r="I135" s="167" t="s">
        <v>140</v>
      </c>
      <c r="J135" s="167" t="s">
        <v>183</v>
      </c>
      <c r="K135" s="167">
        <v>0</v>
      </c>
      <c r="L135" s="167">
        <v>0</v>
      </c>
      <c r="M135" s="167">
        <v>0</v>
      </c>
      <c r="N135" s="167">
        <v>250</v>
      </c>
      <c r="O135" s="169">
        <v>3100</v>
      </c>
      <c r="P135" s="129" t="b">
        <f t="shared" si="10"/>
        <v>1</v>
      </c>
      <c r="Q135" s="162">
        <v>0</v>
      </c>
      <c r="R135" s="163" t="s">
        <v>61</v>
      </c>
      <c r="S135" s="163" t="s">
        <v>23</v>
      </c>
      <c r="T135" s="164" t="s">
        <v>351</v>
      </c>
      <c r="U135" s="163" t="s">
        <v>352</v>
      </c>
    </row>
    <row r="136" spans="1:21" s="86" customFormat="1" thickBot="1">
      <c r="A136" s="170" t="s">
        <v>34</v>
      </c>
      <c r="B136" s="166" t="s">
        <v>35</v>
      </c>
      <c r="C136" s="180" t="s">
        <v>22</v>
      </c>
      <c r="D136" s="180"/>
      <c r="E136" s="181">
        <f t="shared" si="16"/>
        <v>0</v>
      </c>
      <c r="F136" s="167"/>
      <c r="G136" s="167"/>
      <c r="H136" s="167"/>
      <c r="I136" s="167"/>
      <c r="J136" s="167"/>
      <c r="K136" s="167"/>
      <c r="L136" s="167"/>
      <c r="M136" s="167"/>
      <c r="N136" s="167"/>
      <c r="O136" s="169"/>
      <c r="P136" s="129" t="b">
        <f t="shared" si="10"/>
        <v>1</v>
      </c>
      <c r="Q136" s="162"/>
      <c r="R136" s="163"/>
      <c r="S136" s="163"/>
      <c r="T136" s="164"/>
      <c r="U136" s="163"/>
    </row>
    <row r="137" spans="1:21" s="86" customFormat="1" thickBot="1">
      <c r="A137" s="170" t="s">
        <v>36</v>
      </c>
      <c r="B137" s="166" t="s">
        <v>29</v>
      </c>
      <c r="C137" s="180" t="s">
        <v>22</v>
      </c>
      <c r="D137" s="180">
        <v>1</v>
      </c>
      <c r="E137" s="181">
        <f t="shared" si="16"/>
        <v>2830</v>
      </c>
      <c r="F137" s="167"/>
      <c r="G137" s="167"/>
      <c r="H137" s="167"/>
      <c r="I137" s="167"/>
      <c r="J137" s="167"/>
      <c r="K137" s="167"/>
      <c r="L137" s="167">
        <f>L138</f>
        <v>0</v>
      </c>
      <c r="M137" s="167">
        <f>M138</f>
        <v>150</v>
      </c>
      <c r="N137" s="167">
        <f>N138</f>
        <v>2680</v>
      </c>
      <c r="O137" s="167">
        <f t="shared" ref="O137" si="17">O138</f>
        <v>0</v>
      </c>
      <c r="P137" s="129" t="b">
        <f t="shared" si="10"/>
        <v>1</v>
      </c>
      <c r="Q137" s="162">
        <v>0</v>
      </c>
      <c r="R137" s="163"/>
      <c r="S137" s="163"/>
      <c r="T137" s="164"/>
      <c r="U137" s="163"/>
    </row>
    <row r="138" spans="1:21" s="86" customFormat="1" ht="60.75" thickBot="1">
      <c r="A138" s="182" t="s">
        <v>353</v>
      </c>
      <c r="B138" s="166" t="s">
        <v>354</v>
      </c>
      <c r="C138" s="180" t="s">
        <v>22</v>
      </c>
      <c r="D138" s="180">
        <v>1</v>
      </c>
      <c r="E138" s="181">
        <f>K138+L138+M138+N138+O138</f>
        <v>2830</v>
      </c>
      <c r="F138" s="167" t="s">
        <v>82</v>
      </c>
      <c r="G138" s="167" t="s">
        <v>119</v>
      </c>
      <c r="H138" s="167" t="s">
        <v>120</v>
      </c>
      <c r="I138" s="167" t="s">
        <v>66</v>
      </c>
      <c r="J138" s="167" t="s">
        <v>124</v>
      </c>
      <c r="K138" s="167">
        <v>0</v>
      </c>
      <c r="L138" s="167">
        <v>0</v>
      </c>
      <c r="M138" s="167">
        <v>150</v>
      </c>
      <c r="N138" s="167">
        <v>2680</v>
      </c>
      <c r="O138" s="169">
        <v>0</v>
      </c>
      <c r="P138" s="129" t="b">
        <f t="shared" si="10"/>
        <v>1</v>
      </c>
      <c r="Q138" s="162">
        <v>1</v>
      </c>
      <c r="R138" s="163" t="s">
        <v>61</v>
      </c>
      <c r="S138" s="163">
        <v>1.2</v>
      </c>
      <c r="T138" s="164" t="s">
        <v>63</v>
      </c>
      <c r="U138" s="163" t="s">
        <v>355</v>
      </c>
    </row>
    <row r="139" spans="1:21" ht="29.25" thickBot="1">
      <c r="A139" s="183" t="s">
        <v>37</v>
      </c>
      <c r="B139" s="184" t="s">
        <v>38</v>
      </c>
      <c r="C139" s="180" t="s">
        <v>22</v>
      </c>
      <c r="D139" s="180">
        <v>0</v>
      </c>
      <c r="E139" s="181">
        <f t="shared" si="16"/>
        <v>0</v>
      </c>
      <c r="F139" s="180"/>
      <c r="G139" s="180"/>
      <c r="H139" s="180"/>
      <c r="I139" s="180"/>
      <c r="J139" s="180"/>
      <c r="K139" s="185">
        <v>0</v>
      </c>
      <c r="L139" s="185">
        <v>0</v>
      </c>
      <c r="M139" s="186">
        <v>0</v>
      </c>
      <c r="N139" s="180">
        <v>0</v>
      </c>
      <c r="O139" s="187">
        <v>0</v>
      </c>
      <c r="P139" s="129" t="b">
        <f t="shared" si="10"/>
        <v>1</v>
      </c>
      <c r="Q139" s="162"/>
      <c r="R139" s="163"/>
      <c r="S139" s="163"/>
      <c r="T139" s="164"/>
      <c r="U139" s="163"/>
    </row>
    <row r="140" spans="1:21" ht="29.25" thickBot="1">
      <c r="A140" s="183" t="s">
        <v>39</v>
      </c>
      <c r="B140" s="184" t="s">
        <v>40</v>
      </c>
      <c r="C140" s="180" t="s">
        <v>22</v>
      </c>
      <c r="D140" s="180">
        <f>D141+D142</f>
        <v>318</v>
      </c>
      <c r="E140" s="180">
        <f>E141+E142</f>
        <v>73537.95</v>
      </c>
      <c r="F140" s="180"/>
      <c r="G140" s="180"/>
      <c r="H140" s="180"/>
      <c r="I140" s="180"/>
      <c r="J140" s="180"/>
      <c r="K140" s="188">
        <f>K141+K142</f>
        <v>5537.95</v>
      </c>
      <c r="L140" s="188">
        <f t="shared" ref="L140:O140" si="18">L141+L142</f>
        <v>6000</v>
      </c>
      <c r="M140" s="188">
        <f t="shared" si="18"/>
        <v>23000</v>
      </c>
      <c r="N140" s="188">
        <f t="shared" si="18"/>
        <v>23500</v>
      </c>
      <c r="O140" s="188">
        <f t="shared" si="18"/>
        <v>15500</v>
      </c>
      <c r="P140" s="129" t="b">
        <f t="shared" si="10"/>
        <v>1</v>
      </c>
      <c r="Q140" s="162"/>
      <c r="R140" s="163"/>
      <c r="S140" s="163"/>
      <c r="T140" s="164"/>
      <c r="U140" s="163"/>
    </row>
    <row r="141" spans="1:21" s="86" customFormat="1" thickBot="1">
      <c r="A141" s="182" t="s">
        <v>41</v>
      </c>
      <c r="B141" s="164" t="s">
        <v>42</v>
      </c>
      <c r="C141" s="153" t="s">
        <v>22</v>
      </c>
      <c r="D141" s="153">
        <v>10</v>
      </c>
      <c r="E141" s="189">
        <f t="shared" si="16"/>
        <v>6250.71</v>
      </c>
      <c r="F141" s="153"/>
      <c r="G141" s="153"/>
      <c r="H141" s="153"/>
      <c r="I141" s="153"/>
      <c r="J141" s="153"/>
      <c r="K141" s="190">
        <f>1944.71+306</f>
        <v>2250.71</v>
      </c>
      <c r="L141" s="190">
        <v>1000</v>
      </c>
      <c r="M141" s="190">
        <v>1000</v>
      </c>
      <c r="N141" s="190">
        <v>1000</v>
      </c>
      <c r="O141" s="190">
        <v>1000</v>
      </c>
      <c r="P141" s="129" t="b">
        <f t="shared" si="10"/>
        <v>1</v>
      </c>
      <c r="Q141" s="162"/>
      <c r="R141" s="163"/>
      <c r="S141" s="163"/>
      <c r="T141" s="164"/>
      <c r="U141" s="163"/>
    </row>
    <row r="142" spans="1:21" s="86" customFormat="1" ht="42.75" customHeight="1" thickBot="1">
      <c r="A142" s="182" t="s">
        <v>43</v>
      </c>
      <c r="B142" s="164" t="s">
        <v>44</v>
      </c>
      <c r="C142" s="153" t="s">
        <v>356</v>
      </c>
      <c r="D142" s="153">
        <v>308</v>
      </c>
      <c r="E142" s="181">
        <f t="shared" si="16"/>
        <v>67287.239999999991</v>
      </c>
      <c r="F142" s="167"/>
      <c r="G142" s="167" t="s">
        <v>357</v>
      </c>
      <c r="H142" s="167" t="s">
        <v>357</v>
      </c>
      <c r="I142" s="167" t="s">
        <v>357</v>
      </c>
      <c r="J142" s="167" t="s">
        <v>357</v>
      </c>
      <c r="K142" s="168">
        <f>2437+850.24</f>
        <v>3287.24</v>
      </c>
      <c r="L142" s="168">
        <v>5000</v>
      </c>
      <c r="M142" s="168">
        <v>22000</v>
      </c>
      <c r="N142" s="168">
        <v>22500</v>
      </c>
      <c r="O142" s="171">
        <v>14500</v>
      </c>
      <c r="P142" s="129" t="b">
        <f t="shared" ref="P142:P149" si="19">E142=K142+L142+M142+N142+O142</f>
        <v>1</v>
      </c>
      <c r="Q142" s="162">
        <v>0</v>
      </c>
      <c r="R142" s="163" t="s">
        <v>358</v>
      </c>
      <c r="S142" s="163" t="s">
        <v>261</v>
      </c>
      <c r="T142" s="164" t="s">
        <v>359</v>
      </c>
      <c r="U142" s="163"/>
    </row>
    <row r="143" spans="1:21" ht="45.75" thickBot="1">
      <c r="A143" s="112">
        <v>5</v>
      </c>
      <c r="B143" s="191" t="s">
        <v>45</v>
      </c>
      <c r="C143" s="150" t="s">
        <v>152</v>
      </c>
      <c r="D143" s="150">
        <v>6</v>
      </c>
      <c r="E143" s="181">
        <f t="shared" si="16"/>
        <v>16198.6</v>
      </c>
      <c r="F143" s="150"/>
      <c r="G143" s="150"/>
      <c r="H143" s="150"/>
      <c r="I143" s="150"/>
      <c r="J143" s="150"/>
      <c r="K143" s="192">
        <v>8198.6</v>
      </c>
      <c r="L143" s="192">
        <v>2000</v>
      </c>
      <c r="M143" s="192">
        <v>2000</v>
      </c>
      <c r="N143" s="192">
        <v>2000</v>
      </c>
      <c r="O143" s="192">
        <v>2000</v>
      </c>
      <c r="P143" s="129" t="b">
        <f t="shared" si="19"/>
        <v>1</v>
      </c>
      <c r="Q143" s="162">
        <v>0</v>
      </c>
      <c r="R143" s="163" t="s">
        <v>61</v>
      </c>
      <c r="S143" s="163" t="s">
        <v>360</v>
      </c>
      <c r="T143" s="164" t="s">
        <v>361</v>
      </c>
      <c r="U143" s="163"/>
    </row>
    <row r="144" spans="1:21" ht="52.5" customHeight="1" thickBot="1">
      <c r="A144" s="112">
        <v>6</v>
      </c>
      <c r="B144" s="149" t="s">
        <v>46</v>
      </c>
      <c r="C144" s="150" t="s">
        <v>22</v>
      </c>
      <c r="D144" s="150">
        <v>13</v>
      </c>
      <c r="E144" s="150">
        <f>K144+L144+M144+N144+O144</f>
        <v>23700</v>
      </c>
      <c r="F144" s="150"/>
      <c r="G144" s="150"/>
      <c r="H144" s="150"/>
      <c r="I144" s="150"/>
      <c r="J144" s="150"/>
      <c r="K144" s="150">
        <v>5100</v>
      </c>
      <c r="L144" s="150">
        <v>4700</v>
      </c>
      <c r="M144" s="150">
        <v>8000</v>
      </c>
      <c r="N144" s="150">
        <v>4500</v>
      </c>
      <c r="O144" s="150">
        <v>1400</v>
      </c>
      <c r="P144" s="129" t="b">
        <f t="shared" si="19"/>
        <v>1</v>
      </c>
      <c r="Q144" s="162">
        <v>0</v>
      </c>
      <c r="R144" s="132" t="s">
        <v>153</v>
      </c>
      <c r="S144" s="163"/>
      <c r="T144" s="164"/>
      <c r="U144" s="163"/>
    </row>
    <row r="145" spans="1:21" ht="43.5" customHeight="1" thickBot="1">
      <c r="A145" s="112">
        <v>7</v>
      </c>
      <c r="B145" s="193" t="s">
        <v>47</v>
      </c>
      <c r="C145" s="150" t="s">
        <v>356</v>
      </c>
      <c r="D145" s="150">
        <v>100</v>
      </c>
      <c r="E145" s="150">
        <f>K145+L145+M145+N145+O145</f>
        <v>2360</v>
      </c>
      <c r="F145" s="150"/>
      <c r="G145" s="150"/>
      <c r="H145" s="150"/>
      <c r="I145" s="150"/>
      <c r="J145" s="150"/>
      <c r="K145" s="150">
        <v>360</v>
      </c>
      <c r="L145" s="150">
        <v>500</v>
      </c>
      <c r="M145" s="150">
        <v>500</v>
      </c>
      <c r="N145" s="150">
        <v>500</v>
      </c>
      <c r="O145" s="150">
        <v>500</v>
      </c>
      <c r="P145" s="129" t="b">
        <f t="shared" si="19"/>
        <v>1</v>
      </c>
      <c r="Q145" s="162">
        <v>0</v>
      </c>
      <c r="R145" s="186" t="s">
        <v>153</v>
      </c>
      <c r="S145" s="163" t="s">
        <v>362</v>
      </c>
      <c r="T145" s="164" t="s">
        <v>363</v>
      </c>
      <c r="U145" s="163" t="s">
        <v>364</v>
      </c>
    </row>
    <row r="146" spans="1:21" ht="16.5" thickBot="1">
      <c r="A146" s="112">
        <v>8</v>
      </c>
      <c r="B146" s="193" t="s">
        <v>48</v>
      </c>
      <c r="C146" s="150"/>
      <c r="D146" s="150">
        <v>0</v>
      </c>
      <c r="E146" s="194">
        <v>0</v>
      </c>
      <c r="F146" s="150"/>
      <c r="G146" s="150"/>
      <c r="H146" s="150"/>
      <c r="I146" s="150"/>
      <c r="J146" s="150"/>
      <c r="K146" s="151">
        <v>0</v>
      </c>
      <c r="L146" s="151">
        <v>0</v>
      </c>
      <c r="M146" s="151">
        <v>0</v>
      </c>
      <c r="N146" s="151">
        <v>0</v>
      </c>
      <c r="O146" s="195">
        <v>0</v>
      </c>
      <c r="P146" s="129" t="b">
        <f t="shared" si="19"/>
        <v>1</v>
      </c>
      <c r="Q146" s="162"/>
      <c r="R146" s="163"/>
      <c r="S146" s="163"/>
      <c r="T146" s="164"/>
      <c r="U146" s="163"/>
    </row>
    <row r="147" spans="1:21" ht="48.75" customHeight="1" thickBot="1">
      <c r="A147" s="112">
        <v>9</v>
      </c>
      <c r="B147" s="193" t="s">
        <v>49</v>
      </c>
      <c r="C147" s="150" t="s">
        <v>356</v>
      </c>
      <c r="D147" s="150">
        <v>19</v>
      </c>
      <c r="E147" s="181">
        <f>K147+L147+M147+N147+O147</f>
        <v>15300</v>
      </c>
      <c r="F147" s="150"/>
      <c r="G147" s="150"/>
      <c r="H147" s="150"/>
      <c r="I147" s="150"/>
      <c r="J147" s="150"/>
      <c r="K147" s="151">
        <f>800</f>
        <v>800</v>
      </c>
      <c r="L147" s="151">
        <v>3500</v>
      </c>
      <c r="M147" s="151">
        <v>3000</v>
      </c>
      <c r="N147" s="151">
        <v>2000</v>
      </c>
      <c r="O147" s="151">
        <v>6000</v>
      </c>
      <c r="P147" s="129" t="b">
        <f t="shared" si="19"/>
        <v>1</v>
      </c>
      <c r="Q147" s="162">
        <v>0</v>
      </c>
      <c r="R147" s="163" t="s">
        <v>365</v>
      </c>
      <c r="S147" s="163" t="s">
        <v>167</v>
      </c>
      <c r="T147" s="164" t="s">
        <v>366</v>
      </c>
      <c r="U147" s="163" t="s">
        <v>367</v>
      </c>
    </row>
    <row r="148" spans="1:21" ht="63.75" customHeight="1" thickBot="1">
      <c r="A148" s="112">
        <v>10</v>
      </c>
      <c r="B148" s="193" t="s">
        <v>50</v>
      </c>
      <c r="C148" s="150"/>
      <c r="D148" s="150"/>
      <c r="E148" s="181">
        <f>K148+L148+M148+N148+O148</f>
        <v>6490</v>
      </c>
      <c r="F148" s="150"/>
      <c r="G148" s="150"/>
      <c r="H148" s="150"/>
      <c r="I148" s="150"/>
      <c r="J148" s="150"/>
      <c r="K148" s="141">
        <f>1100*0.9</f>
        <v>990</v>
      </c>
      <c r="L148" s="141">
        <v>1000</v>
      </c>
      <c r="M148" s="141">
        <v>1000</v>
      </c>
      <c r="N148" s="141">
        <v>1000</v>
      </c>
      <c r="O148" s="141">
        <v>2500</v>
      </c>
      <c r="P148" s="129" t="b">
        <f t="shared" si="19"/>
        <v>1</v>
      </c>
      <c r="Q148" s="162">
        <v>0</v>
      </c>
      <c r="R148" s="163" t="s">
        <v>365</v>
      </c>
      <c r="S148" s="163" t="s">
        <v>261</v>
      </c>
      <c r="T148" s="164" t="s">
        <v>368</v>
      </c>
      <c r="U148" s="163" t="s">
        <v>369</v>
      </c>
    </row>
    <row r="149" spans="1:21" s="203" customFormat="1" ht="19.5" thickBot="1">
      <c r="A149" s="196"/>
      <c r="B149" s="197" t="s">
        <v>4</v>
      </c>
      <c r="C149" s="198"/>
      <c r="D149" s="198">
        <f>D148+D147+D146+D145+D144+D143+D140+D139+D84+D78</f>
        <v>518</v>
      </c>
      <c r="E149" s="199">
        <f>K149+L149+M149+N149+O149</f>
        <v>346139.55</v>
      </c>
      <c r="F149" s="200"/>
      <c r="G149" s="200"/>
      <c r="H149" s="200"/>
      <c r="I149" s="200"/>
      <c r="J149" s="200"/>
      <c r="K149" s="200">
        <f>K148+K147+K146+K145+K144+K143+K140+K139+K84+K78</f>
        <v>87131.55</v>
      </c>
      <c r="L149" s="200">
        <f>L148+L147+L146+L145+L144+L143+L140+L139+L84+L78</f>
        <v>44500</v>
      </c>
      <c r="M149" s="200">
        <f>M148+M147+M146+M145+M144+M143+M140+M139+M84+M78</f>
        <v>77300</v>
      </c>
      <c r="N149" s="200">
        <f>N148+N147+N146+N145+N144+N143+N140+N139+N84+N78</f>
        <v>53658</v>
      </c>
      <c r="O149" s="200">
        <f>O148+O147+O146+O145+O144+O143+O140+O139+O84+O78</f>
        <v>83550</v>
      </c>
      <c r="P149" s="119" t="b">
        <f t="shared" si="19"/>
        <v>1</v>
      </c>
      <c r="Q149" s="196"/>
      <c r="R149" s="201"/>
      <c r="S149" s="196"/>
      <c r="T149" s="202"/>
      <c r="U149" s="196"/>
    </row>
    <row r="150" spans="1:21" s="86" customFormat="1" ht="20.25" customHeight="1" thickBot="1">
      <c r="A150" s="204" t="s">
        <v>370</v>
      </c>
      <c r="B150" s="205"/>
      <c r="C150" s="205"/>
      <c r="D150" s="205"/>
      <c r="E150" s="205"/>
      <c r="F150" s="205"/>
      <c r="G150" s="205"/>
      <c r="H150" s="205"/>
      <c r="I150" s="205"/>
      <c r="J150" s="205"/>
      <c r="K150" s="205"/>
      <c r="L150" s="205"/>
      <c r="M150" s="205"/>
      <c r="N150" s="205"/>
      <c r="O150" s="205"/>
      <c r="P150" s="205"/>
      <c r="Q150" s="205"/>
      <c r="R150" s="205"/>
      <c r="S150" s="205"/>
      <c r="T150" s="205"/>
      <c r="U150" s="205"/>
    </row>
    <row r="151" spans="1:21" s="86" customFormat="1" ht="38.25" customHeight="1" thickBot="1">
      <c r="A151" s="87" t="s">
        <v>1</v>
      </c>
      <c r="B151" s="88" t="s">
        <v>2</v>
      </c>
      <c r="C151" s="88" t="s">
        <v>3</v>
      </c>
      <c r="D151" s="89" t="s">
        <v>4</v>
      </c>
      <c r="E151" s="90"/>
      <c r="F151" s="91" t="s">
        <v>5</v>
      </c>
      <c r="G151" s="89" t="s">
        <v>6</v>
      </c>
      <c r="H151" s="90"/>
      <c r="I151" s="92" t="s">
        <v>7</v>
      </c>
      <c r="J151" s="93"/>
      <c r="K151" s="94" t="s">
        <v>8</v>
      </c>
      <c r="L151" s="95"/>
      <c r="M151" s="95"/>
      <c r="N151" s="95"/>
      <c r="O151" s="91"/>
      <c r="P151" s="88" t="s">
        <v>9</v>
      </c>
      <c r="Q151" s="88" t="s">
        <v>10</v>
      </c>
      <c r="R151" s="88" t="s">
        <v>11</v>
      </c>
      <c r="S151" s="88" t="s">
        <v>12</v>
      </c>
      <c r="T151" s="206" t="s">
        <v>13</v>
      </c>
      <c r="U151" s="88" t="s">
        <v>14</v>
      </c>
    </row>
    <row r="152" spans="1:21" s="86" customFormat="1" ht="80.25" customHeight="1" thickBot="1">
      <c r="A152" s="98"/>
      <c r="B152" s="99"/>
      <c r="C152" s="99"/>
      <c r="D152" s="88" t="s">
        <v>15</v>
      </c>
      <c r="E152" s="88" t="s">
        <v>16</v>
      </c>
      <c r="F152" s="100"/>
      <c r="G152" s="88" t="s">
        <v>17</v>
      </c>
      <c r="H152" s="88" t="s">
        <v>18</v>
      </c>
      <c r="I152" s="88" t="s">
        <v>17</v>
      </c>
      <c r="J152" s="88" t="s">
        <v>18</v>
      </c>
      <c r="K152" s="101"/>
      <c r="L152" s="102"/>
      <c r="M152" s="102"/>
      <c r="N152" s="102"/>
      <c r="O152" s="103"/>
      <c r="P152" s="99"/>
      <c r="Q152" s="105"/>
      <c r="R152" s="105"/>
      <c r="S152" s="105"/>
      <c r="T152" s="207"/>
      <c r="U152" s="105"/>
    </row>
    <row r="153" spans="1:21" s="86" customFormat="1" ht="105.75" customHeight="1" thickBot="1">
      <c r="A153" s="104"/>
      <c r="B153" s="105"/>
      <c r="C153" s="105"/>
      <c r="D153" s="105"/>
      <c r="E153" s="105"/>
      <c r="F153" s="103"/>
      <c r="G153" s="105"/>
      <c r="H153" s="105"/>
      <c r="I153" s="105"/>
      <c r="J153" s="105"/>
      <c r="K153" s="106" t="s">
        <v>155</v>
      </c>
      <c r="L153" s="107" t="s">
        <v>156</v>
      </c>
      <c r="M153" s="106" t="s">
        <v>157</v>
      </c>
      <c r="N153" s="106" t="s">
        <v>158</v>
      </c>
      <c r="O153" s="106" t="s">
        <v>159</v>
      </c>
      <c r="P153" s="105"/>
      <c r="Q153" s="196"/>
      <c r="R153" s="196"/>
      <c r="S153" s="196"/>
      <c r="T153" s="202"/>
      <c r="U153" s="196"/>
    </row>
    <row r="154" spans="1:21" s="63" customFormat="1" ht="16.5" thickBot="1">
      <c r="A154" s="108">
        <v>1</v>
      </c>
      <c r="B154" s="109">
        <v>2</v>
      </c>
      <c r="C154" s="109">
        <v>3</v>
      </c>
      <c r="D154" s="109">
        <v>4</v>
      </c>
      <c r="E154" s="108">
        <v>5</v>
      </c>
      <c r="F154" s="109">
        <v>6</v>
      </c>
      <c r="G154" s="109">
        <v>7</v>
      </c>
      <c r="H154" s="109">
        <v>8</v>
      </c>
      <c r="I154" s="108">
        <v>9</v>
      </c>
      <c r="J154" s="109">
        <v>10</v>
      </c>
      <c r="K154" s="109">
        <v>12</v>
      </c>
      <c r="L154" s="108">
        <v>13</v>
      </c>
      <c r="M154" s="109">
        <v>14</v>
      </c>
      <c r="N154" s="109">
        <v>15</v>
      </c>
      <c r="O154" s="109">
        <v>15</v>
      </c>
      <c r="P154" s="110"/>
      <c r="Q154" s="111">
        <v>16</v>
      </c>
      <c r="R154" s="111">
        <v>17</v>
      </c>
      <c r="S154" s="111">
        <v>18</v>
      </c>
      <c r="T154" s="208">
        <v>20</v>
      </c>
      <c r="U154" s="111">
        <v>21</v>
      </c>
    </row>
    <row r="155" spans="1:21" ht="19.5" thickBot="1">
      <c r="A155" s="112">
        <v>1</v>
      </c>
      <c r="B155" s="115" t="s">
        <v>19</v>
      </c>
      <c r="C155" s="114"/>
      <c r="D155" s="114"/>
      <c r="E155" s="114"/>
      <c r="F155" s="114"/>
      <c r="G155" s="114"/>
      <c r="H155" s="114"/>
      <c r="I155" s="114"/>
      <c r="J155" s="114"/>
      <c r="K155" s="209"/>
      <c r="L155" s="209"/>
      <c r="M155" s="209"/>
      <c r="N155" s="209"/>
      <c r="O155" s="209"/>
      <c r="P155" s="210" t="b">
        <f t="shared" ref="P155:P218" si="20">E155=K155+L155+M155+N155+O155</f>
        <v>1</v>
      </c>
      <c r="Q155" s="211"/>
      <c r="R155" s="211"/>
      <c r="S155" s="211"/>
      <c r="T155" s="212"/>
      <c r="U155" s="211"/>
    </row>
    <row r="156" spans="1:21" s="86" customFormat="1" ht="33" customHeight="1" thickBot="1">
      <c r="A156" s="157" t="s">
        <v>20</v>
      </c>
      <c r="B156" s="158" t="s">
        <v>21</v>
      </c>
      <c r="C156" s="159" t="s">
        <v>22</v>
      </c>
      <c r="D156" s="159">
        <v>4</v>
      </c>
      <c r="E156" s="160"/>
      <c r="F156" s="160"/>
      <c r="G156" s="160"/>
      <c r="H156" s="160"/>
      <c r="I156" s="160"/>
      <c r="J156" s="160"/>
      <c r="K156" s="213"/>
      <c r="L156" s="160"/>
      <c r="M156" s="160"/>
      <c r="N156" s="160"/>
      <c r="O156" s="160"/>
      <c r="P156" s="210" t="b">
        <f t="shared" si="20"/>
        <v>1</v>
      </c>
      <c r="Q156" s="160"/>
      <c r="R156" s="163"/>
      <c r="S156" s="163"/>
      <c r="T156" s="214"/>
      <c r="U156" s="163"/>
    </row>
    <row r="157" spans="1:21" s="86" customFormat="1" ht="19.5" thickBot="1">
      <c r="A157" s="157" t="s">
        <v>23</v>
      </c>
      <c r="B157" s="158" t="s">
        <v>24</v>
      </c>
      <c r="C157" s="159"/>
      <c r="D157" s="159"/>
      <c r="E157" s="160"/>
      <c r="F157" s="159"/>
      <c r="G157" s="159"/>
      <c r="H157" s="159"/>
      <c r="I157" s="159"/>
      <c r="J157" s="159"/>
      <c r="K157" s="160"/>
      <c r="L157" s="160"/>
      <c r="M157" s="160"/>
      <c r="N157" s="215"/>
      <c r="O157" s="215"/>
      <c r="P157" s="210" t="b">
        <f t="shared" si="20"/>
        <v>1</v>
      </c>
      <c r="Q157" s="163"/>
      <c r="R157" s="163"/>
      <c r="S157" s="163"/>
      <c r="T157" s="164"/>
      <c r="U157" s="163"/>
    </row>
    <row r="158" spans="1:21" s="86" customFormat="1" ht="37.5" customHeight="1" thickBot="1">
      <c r="A158" s="157" t="s">
        <v>25</v>
      </c>
      <c r="B158" s="158" t="s">
        <v>35</v>
      </c>
      <c r="C158" s="159"/>
      <c r="D158" s="159"/>
      <c r="E158" s="160"/>
      <c r="F158" s="160"/>
      <c r="G158" s="160"/>
      <c r="H158" s="160"/>
      <c r="I158" s="160"/>
      <c r="J158" s="160"/>
      <c r="K158" s="160"/>
      <c r="L158" s="160"/>
      <c r="M158" s="160"/>
      <c r="N158" s="160"/>
      <c r="O158" s="160"/>
      <c r="P158" s="210" t="b">
        <f t="shared" si="20"/>
        <v>1</v>
      </c>
      <c r="Q158" s="163"/>
      <c r="R158" s="163"/>
      <c r="S158" s="163"/>
      <c r="T158" s="164"/>
      <c r="U158" s="163"/>
    </row>
    <row r="159" spans="1:21" s="86" customFormat="1" ht="37.5" customHeight="1" thickBot="1">
      <c r="A159" s="157" t="s">
        <v>28</v>
      </c>
      <c r="B159" s="158" t="s">
        <v>29</v>
      </c>
      <c r="C159" s="159"/>
      <c r="D159" s="159">
        <v>0</v>
      </c>
      <c r="E159" s="160">
        <f t="shared" ref="E159:E222" si="21">K159+L159+M159+N159+O159</f>
        <v>0</v>
      </c>
      <c r="F159" s="159"/>
      <c r="G159" s="159"/>
      <c r="H159" s="159"/>
      <c r="I159" s="159"/>
      <c r="J159" s="159"/>
      <c r="K159" s="160">
        <v>0</v>
      </c>
      <c r="L159" s="160">
        <v>0</v>
      </c>
      <c r="M159" s="160">
        <v>0</v>
      </c>
      <c r="N159" s="160">
        <v>0</v>
      </c>
      <c r="O159" s="160">
        <v>0</v>
      </c>
      <c r="P159" s="210" t="b">
        <f t="shared" si="20"/>
        <v>1</v>
      </c>
      <c r="Q159" s="163"/>
      <c r="R159" s="163"/>
      <c r="S159" s="163"/>
      <c r="T159" s="163"/>
      <c r="U159" s="163"/>
    </row>
    <row r="160" spans="1:21" s="86" customFormat="1" ht="32.25" thickBot="1">
      <c r="A160" s="112" t="s">
        <v>30</v>
      </c>
      <c r="B160" s="115" t="s">
        <v>31</v>
      </c>
      <c r="C160" s="114"/>
      <c r="D160" s="209"/>
      <c r="E160" s="209">
        <f>E161+E222+E230+E231</f>
        <v>264875.99</v>
      </c>
      <c r="F160" s="114"/>
      <c r="G160" s="114"/>
      <c r="H160" s="114"/>
      <c r="I160" s="114"/>
      <c r="J160" s="114"/>
      <c r="K160" s="209">
        <f>K161+K222+K230+K231</f>
        <v>21718.989999999998</v>
      </c>
      <c r="L160" s="209">
        <f>L161+L222+L230+L231</f>
        <v>29941</v>
      </c>
      <c r="M160" s="209">
        <f>M161+M222+M230+M231</f>
        <v>18500</v>
      </c>
      <c r="N160" s="209">
        <f>N161+N222+N230+N231</f>
        <v>112516</v>
      </c>
      <c r="O160" s="209">
        <f>O161+O222+O230+O231</f>
        <v>82200</v>
      </c>
      <c r="P160" s="210" t="b">
        <f t="shared" si="20"/>
        <v>1</v>
      </c>
      <c r="Q160" s="211"/>
      <c r="R160" s="211"/>
      <c r="S160" s="211"/>
      <c r="T160" s="212"/>
      <c r="U160" s="211"/>
    </row>
    <row r="161" spans="1:21" s="86" customFormat="1" ht="19.5" thickBot="1">
      <c r="A161" s="157" t="s">
        <v>32</v>
      </c>
      <c r="B161" s="158" t="s">
        <v>371</v>
      </c>
      <c r="C161" s="159" t="s">
        <v>22</v>
      </c>
      <c r="D161" s="159">
        <f>SUM(D162:D221)</f>
        <v>23</v>
      </c>
      <c r="E161" s="160">
        <f>SUM(E162:E221)</f>
        <v>226261.80000000002</v>
      </c>
      <c r="F161" s="159"/>
      <c r="G161" s="159"/>
      <c r="H161" s="159"/>
      <c r="I161" s="159"/>
      <c r="J161" s="159"/>
      <c r="K161" s="160">
        <f>SUM(K162:K221)</f>
        <v>18795.8</v>
      </c>
      <c r="L161" s="160">
        <f>SUM(L162:L221)</f>
        <v>12950</v>
      </c>
      <c r="M161" s="160">
        <f>SUM(M162:M221)</f>
        <v>14450</v>
      </c>
      <c r="N161" s="160">
        <f>SUM(N162:N221)</f>
        <v>106866</v>
      </c>
      <c r="O161" s="160">
        <f>SUM(O162:O221)</f>
        <v>73200</v>
      </c>
      <c r="P161" s="210" t="b">
        <f t="shared" si="20"/>
        <v>1</v>
      </c>
      <c r="Q161" s="163"/>
      <c r="R161" s="163"/>
      <c r="S161" s="163"/>
      <c r="T161" s="164"/>
      <c r="U161" s="163"/>
    </row>
    <row r="162" spans="1:21" s="86" customFormat="1" ht="45.75" thickBot="1">
      <c r="A162" s="216" t="s">
        <v>54</v>
      </c>
      <c r="B162" s="166" t="s">
        <v>372</v>
      </c>
      <c r="C162" s="217" t="s">
        <v>22</v>
      </c>
      <c r="D162" s="217">
        <v>1</v>
      </c>
      <c r="E162" s="168">
        <f t="shared" si="21"/>
        <v>9000</v>
      </c>
      <c r="F162" s="167" t="s">
        <v>82</v>
      </c>
      <c r="G162" s="167" t="s">
        <v>373</v>
      </c>
      <c r="H162" s="167" t="s">
        <v>374</v>
      </c>
      <c r="I162" s="167" t="s">
        <v>375</v>
      </c>
      <c r="J162" s="167" t="s">
        <v>376</v>
      </c>
      <c r="K162" s="168"/>
      <c r="L162" s="168"/>
      <c r="M162" s="168">
        <v>9000</v>
      </c>
      <c r="N162" s="168"/>
      <c r="O162" s="168"/>
      <c r="P162" s="218" t="b">
        <f t="shared" si="20"/>
        <v>1</v>
      </c>
      <c r="Q162" s="163"/>
      <c r="R162" s="163" t="s">
        <v>61</v>
      </c>
      <c r="S162" s="163" t="s">
        <v>377</v>
      </c>
      <c r="T162" s="164" t="s">
        <v>378</v>
      </c>
      <c r="U162" s="163" t="s">
        <v>379</v>
      </c>
    </row>
    <row r="163" spans="1:21" s="86" customFormat="1" ht="75.75" thickBot="1">
      <c r="A163" s="219"/>
      <c r="B163" s="166" t="s">
        <v>380</v>
      </c>
      <c r="C163" s="220"/>
      <c r="D163" s="220"/>
      <c r="E163" s="168">
        <f t="shared" si="21"/>
        <v>9500</v>
      </c>
      <c r="F163" s="167" t="s">
        <v>82</v>
      </c>
      <c r="G163" s="167" t="s">
        <v>375</v>
      </c>
      <c r="H163" s="167" t="s">
        <v>376</v>
      </c>
      <c r="I163" s="167" t="s">
        <v>381</v>
      </c>
      <c r="J163" s="167" t="s">
        <v>382</v>
      </c>
      <c r="K163" s="168"/>
      <c r="L163" s="168"/>
      <c r="M163" s="168">
        <v>500</v>
      </c>
      <c r="N163" s="168">
        <v>9000</v>
      </c>
      <c r="O163" s="168"/>
      <c r="P163" s="218" t="b">
        <f t="shared" si="20"/>
        <v>1</v>
      </c>
      <c r="Q163" s="163"/>
      <c r="R163" s="163" t="s">
        <v>61</v>
      </c>
      <c r="S163" s="163" t="s">
        <v>383</v>
      </c>
      <c r="T163" s="164" t="s">
        <v>378</v>
      </c>
      <c r="U163" s="163" t="s">
        <v>384</v>
      </c>
    </row>
    <row r="164" spans="1:21" s="86" customFormat="1" ht="47.25" customHeight="1" thickBot="1">
      <c r="A164" s="219"/>
      <c r="B164" s="166" t="s">
        <v>385</v>
      </c>
      <c r="C164" s="220"/>
      <c r="D164" s="220"/>
      <c r="E164" s="168">
        <f t="shared" si="21"/>
        <v>1100</v>
      </c>
      <c r="F164" s="167" t="s">
        <v>82</v>
      </c>
      <c r="G164" s="167" t="s">
        <v>386</v>
      </c>
      <c r="H164" s="167" t="s">
        <v>387</v>
      </c>
      <c r="I164" s="167" t="s">
        <v>375</v>
      </c>
      <c r="J164" s="167" t="s">
        <v>376</v>
      </c>
      <c r="K164" s="168"/>
      <c r="L164" s="168">
        <v>100</v>
      </c>
      <c r="M164" s="168">
        <v>1000</v>
      </c>
      <c r="N164" s="168"/>
      <c r="O164" s="168"/>
      <c r="P164" s="218" t="b">
        <f t="shared" si="20"/>
        <v>1</v>
      </c>
      <c r="Q164" s="163"/>
      <c r="R164" s="163" t="s">
        <v>61</v>
      </c>
      <c r="S164" s="163" t="s">
        <v>388</v>
      </c>
      <c r="T164" s="164" t="s">
        <v>378</v>
      </c>
      <c r="U164" s="163" t="s">
        <v>389</v>
      </c>
    </row>
    <row r="165" spans="1:21" s="86" customFormat="1" ht="59.25" customHeight="1" thickBot="1">
      <c r="A165" s="219"/>
      <c r="B165" s="166" t="s">
        <v>390</v>
      </c>
      <c r="C165" s="221"/>
      <c r="D165" s="220"/>
      <c r="E165" s="168">
        <f t="shared" si="21"/>
        <v>300</v>
      </c>
      <c r="F165" s="167" t="s">
        <v>82</v>
      </c>
      <c r="G165" s="167" t="s">
        <v>391</v>
      </c>
      <c r="H165" s="167" t="s">
        <v>392</v>
      </c>
      <c r="I165" s="167" t="s">
        <v>393</v>
      </c>
      <c r="J165" s="167" t="s">
        <v>394</v>
      </c>
      <c r="K165" s="168"/>
      <c r="L165" s="168"/>
      <c r="M165" s="168"/>
      <c r="N165" s="168"/>
      <c r="O165" s="168">
        <v>300</v>
      </c>
      <c r="P165" s="218" t="b">
        <f t="shared" si="20"/>
        <v>1</v>
      </c>
      <c r="Q165" s="163"/>
      <c r="R165" s="163" t="s">
        <v>61</v>
      </c>
      <c r="S165" s="163" t="s">
        <v>377</v>
      </c>
      <c r="T165" s="164" t="s">
        <v>378</v>
      </c>
      <c r="U165" s="163" t="s">
        <v>395</v>
      </c>
    </row>
    <row r="166" spans="1:21" s="86" customFormat="1" ht="45.75" customHeight="1" thickBot="1">
      <c r="A166" s="222"/>
      <c r="B166" s="166" t="s">
        <v>396</v>
      </c>
      <c r="C166" s="167" t="s">
        <v>22</v>
      </c>
      <c r="D166" s="221"/>
      <c r="E166" s="168">
        <f t="shared" si="21"/>
        <v>300</v>
      </c>
      <c r="F166" s="167" t="s">
        <v>82</v>
      </c>
      <c r="G166" s="167" t="s">
        <v>391</v>
      </c>
      <c r="H166" s="167" t="s">
        <v>392</v>
      </c>
      <c r="I166" s="167" t="s">
        <v>393</v>
      </c>
      <c r="J166" s="167" t="s">
        <v>397</v>
      </c>
      <c r="K166" s="168"/>
      <c r="L166" s="168"/>
      <c r="M166" s="168"/>
      <c r="N166" s="168"/>
      <c r="O166" s="168">
        <v>300</v>
      </c>
      <c r="P166" s="218" t="b">
        <f t="shared" si="20"/>
        <v>1</v>
      </c>
      <c r="Q166" s="163"/>
      <c r="R166" s="163"/>
      <c r="S166" s="163"/>
      <c r="T166" s="164" t="s">
        <v>378</v>
      </c>
      <c r="U166" s="163" t="s">
        <v>398</v>
      </c>
    </row>
    <row r="167" spans="1:21" s="86" customFormat="1" ht="70.5" customHeight="1" thickBot="1">
      <c r="A167" s="216" t="s">
        <v>75</v>
      </c>
      <c r="B167" s="166" t="s">
        <v>399</v>
      </c>
      <c r="C167" s="167" t="s">
        <v>22</v>
      </c>
      <c r="D167" s="217">
        <v>1</v>
      </c>
      <c r="E167" s="168">
        <f t="shared" si="21"/>
        <v>5000</v>
      </c>
      <c r="F167" s="167" t="s">
        <v>82</v>
      </c>
      <c r="G167" s="167" t="s">
        <v>373</v>
      </c>
      <c r="H167" s="167" t="s">
        <v>374</v>
      </c>
      <c r="I167" s="167" t="s">
        <v>386</v>
      </c>
      <c r="J167" s="167" t="s">
        <v>387</v>
      </c>
      <c r="K167" s="168"/>
      <c r="L167" s="168">
        <v>5000</v>
      </c>
      <c r="M167" s="168"/>
      <c r="N167" s="168"/>
      <c r="O167" s="168"/>
      <c r="P167" s="218" t="b">
        <f t="shared" si="20"/>
        <v>1</v>
      </c>
      <c r="Q167" s="163"/>
      <c r="R167" s="163" t="s">
        <v>61</v>
      </c>
      <c r="S167" s="163" t="s">
        <v>377</v>
      </c>
      <c r="T167" s="164" t="s">
        <v>378</v>
      </c>
      <c r="U167" s="163" t="s">
        <v>400</v>
      </c>
    </row>
    <row r="168" spans="1:21" s="86" customFormat="1" ht="53.25" customHeight="1" thickBot="1">
      <c r="A168" s="219"/>
      <c r="B168" s="166" t="s">
        <v>401</v>
      </c>
      <c r="C168" s="167" t="s">
        <v>22</v>
      </c>
      <c r="D168" s="220"/>
      <c r="E168" s="168">
        <f t="shared" si="21"/>
        <v>450</v>
      </c>
      <c r="F168" s="167" t="s">
        <v>82</v>
      </c>
      <c r="G168" s="167" t="s">
        <v>391</v>
      </c>
      <c r="H168" s="167" t="s">
        <v>392</v>
      </c>
      <c r="I168" s="167" t="s">
        <v>393</v>
      </c>
      <c r="J168" s="167" t="s">
        <v>394</v>
      </c>
      <c r="K168" s="168"/>
      <c r="L168" s="168"/>
      <c r="M168" s="168"/>
      <c r="N168" s="168"/>
      <c r="O168" s="168">
        <v>450</v>
      </c>
      <c r="P168" s="218" t="b">
        <f t="shared" si="20"/>
        <v>1</v>
      </c>
      <c r="Q168" s="163"/>
      <c r="R168" s="163" t="s">
        <v>61</v>
      </c>
      <c r="S168" s="163" t="s">
        <v>377</v>
      </c>
      <c r="T168" s="164" t="s">
        <v>378</v>
      </c>
      <c r="U168" s="163" t="s">
        <v>402</v>
      </c>
    </row>
    <row r="169" spans="1:21" s="86" customFormat="1" ht="60.75" thickBot="1">
      <c r="A169" s="223"/>
      <c r="B169" s="166" t="s">
        <v>403</v>
      </c>
      <c r="C169" s="167" t="s">
        <v>22</v>
      </c>
      <c r="D169" s="220"/>
      <c r="E169" s="168">
        <f t="shared" si="21"/>
        <v>5500</v>
      </c>
      <c r="F169" s="167" t="s">
        <v>82</v>
      </c>
      <c r="G169" s="167" t="s">
        <v>375</v>
      </c>
      <c r="H169" s="167" t="s">
        <v>376</v>
      </c>
      <c r="I169" s="167" t="s">
        <v>381</v>
      </c>
      <c r="J169" s="167" t="s">
        <v>382</v>
      </c>
      <c r="K169" s="168"/>
      <c r="L169" s="168"/>
      <c r="M169" s="168">
        <v>500</v>
      </c>
      <c r="N169" s="168">
        <v>5000</v>
      </c>
      <c r="O169" s="168"/>
      <c r="P169" s="218" t="b">
        <f t="shared" si="20"/>
        <v>1</v>
      </c>
      <c r="Q169" s="163"/>
      <c r="R169" s="163" t="s">
        <v>61</v>
      </c>
      <c r="S169" s="163" t="s">
        <v>383</v>
      </c>
      <c r="T169" s="164" t="s">
        <v>378</v>
      </c>
      <c r="U169" s="163" t="s">
        <v>404</v>
      </c>
    </row>
    <row r="170" spans="1:21" s="86" customFormat="1" ht="42.75" customHeight="1" thickBot="1">
      <c r="A170" s="224"/>
      <c r="B170" s="166" t="s">
        <v>405</v>
      </c>
      <c r="C170" s="167" t="s">
        <v>22</v>
      </c>
      <c r="D170" s="221"/>
      <c r="E170" s="168">
        <f t="shared" si="21"/>
        <v>300</v>
      </c>
      <c r="F170" s="167" t="s">
        <v>82</v>
      </c>
      <c r="G170" s="167" t="s">
        <v>391</v>
      </c>
      <c r="H170" s="167" t="s">
        <v>392</v>
      </c>
      <c r="I170" s="167" t="s">
        <v>393</v>
      </c>
      <c r="J170" s="167" t="s">
        <v>394</v>
      </c>
      <c r="K170" s="168"/>
      <c r="L170" s="168"/>
      <c r="M170" s="168"/>
      <c r="N170" s="168"/>
      <c r="O170" s="168">
        <v>300</v>
      </c>
      <c r="P170" s="218" t="b">
        <f t="shared" si="20"/>
        <v>1</v>
      </c>
      <c r="Q170" s="163"/>
      <c r="R170" s="163" t="s">
        <v>61</v>
      </c>
      <c r="S170" s="163" t="s">
        <v>406</v>
      </c>
      <c r="T170" s="164" t="s">
        <v>378</v>
      </c>
      <c r="U170" s="163" t="s">
        <v>407</v>
      </c>
    </row>
    <row r="171" spans="1:21" s="86" customFormat="1" ht="42.75" customHeight="1" thickBot="1">
      <c r="A171" s="216" t="s">
        <v>80</v>
      </c>
      <c r="B171" s="166" t="s">
        <v>408</v>
      </c>
      <c r="C171" s="217" t="s">
        <v>22</v>
      </c>
      <c r="D171" s="217">
        <v>1</v>
      </c>
      <c r="E171" s="168">
        <f t="shared" si="21"/>
        <v>1850</v>
      </c>
      <c r="F171" s="167" t="s">
        <v>56</v>
      </c>
      <c r="G171" s="167" t="s">
        <v>409</v>
      </c>
      <c r="H171" s="167" t="s">
        <v>410</v>
      </c>
      <c r="I171" s="167" t="s">
        <v>381</v>
      </c>
      <c r="J171" s="167" t="s">
        <v>382</v>
      </c>
      <c r="K171" s="168"/>
      <c r="L171" s="168"/>
      <c r="M171" s="168"/>
      <c r="N171" s="168">
        <v>1850</v>
      </c>
      <c r="O171" s="168"/>
      <c r="P171" s="218" t="b">
        <f t="shared" si="20"/>
        <v>1</v>
      </c>
      <c r="Q171" s="163"/>
      <c r="R171" s="163" t="s">
        <v>61</v>
      </c>
      <c r="S171" s="163" t="s">
        <v>388</v>
      </c>
      <c r="T171" s="164" t="s">
        <v>378</v>
      </c>
      <c r="U171" s="163" t="s">
        <v>389</v>
      </c>
    </row>
    <row r="172" spans="1:21" s="86" customFormat="1" ht="42.75" customHeight="1" thickBot="1">
      <c r="A172" s="222"/>
      <c r="B172" s="166" t="s">
        <v>411</v>
      </c>
      <c r="C172" s="221"/>
      <c r="D172" s="221"/>
      <c r="E172" s="168">
        <f t="shared" si="21"/>
        <v>4000</v>
      </c>
      <c r="F172" s="167" t="s">
        <v>82</v>
      </c>
      <c r="G172" s="167" t="s">
        <v>386</v>
      </c>
      <c r="H172" s="167" t="s">
        <v>387</v>
      </c>
      <c r="I172" s="167" t="s">
        <v>381</v>
      </c>
      <c r="J172" s="167" t="s">
        <v>382</v>
      </c>
      <c r="K172" s="168"/>
      <c r="L172" s="168">
        <v>400</v>
      </c>
      <c r="M172" s="168"/>
      <c r="N172" s="168">
        <v>3600</v>
      </c>
      <c r="O172" s="168"/>
      <c r="P172" s="218" t="b">
        <f t="shared" si="20"/>
        <v>1</v>
      </c>
      <c r="Q172" s="163"/>
      <c r="R172" s="163" t="s">
        <v>61</v>
      </c>
      <c r="S172" s="163" t="s">
        <v>412</v>
      </c>
      <c r="T172" s="164" t="s">
        <v>378</v>
      </c>
      <c r="U172" s="163" t="s">
        <v>413</v>
      </c>
    </row>
    <row r="173" spans="1:21" s="86" customFormat="1" ht="43.5" customHeight="1" thickBot="1">
      <c r="A173" s="216" t="s">
        <v>88</v>
      </c>
      <c r="B173" s="166" t="s">
        <v>414</v>
      </c>
      <c r="C173" s="217" t="s">
        <v>22</v>
      </c>
      <c r="D173" s="217">
        <v>1</v>
      </c>
      <c r="E173" s="168">
        <f t="shared" si="21"/>
        <v>1850</v>
      </c>
      <c r="F173" s="167" t="s">
        <v>82</v>
      </c>
      <c r="G173" s="167" t="s">
        <v>373</v>
      </c>
      <c r="H173" s="167" t="s">
        <v>374</v>
      </c>
      <c r="I173" s="167" t="s">
        <v>386</v>
      </c>
      <c r="J173" s="167" t="s">
        <v>387</v>
      </c>
      <c r="K173" s="168"/>
      <c r="L173" s="168">
        <v>1850</v>
      </c>
      <c r="M173" s="168"/>
      <c r="N173" s="168"/>
      <c r="O173" s="168"/>
      <c r="P173" s="218" t="b">
        <f t="shared" si="20"/>
        <v>1</v>
      </c>
      <c r="Q173" s="163"/>
      <c r="R173" s="163" t="s">
        <v>61</v>
      </c>
      <c r="S173" s="163" t="s">
        <v>388</v>
      </c>
      <c r="T173" s="164" t="s">
        <v>378</v>
      </c>
      <c r="U173" s="163" t="s">
        <v>389</v>
      </c>
    </row>
    <row r="174" spans="1:21" s="86" customFormat="1" ht="58.5" customHeight="1" thickBot="1">
      <c r="A174" s="222"/>
      <c r="B174" s="166" t="s">
        <v>415</v>
      </c>
      <c r="C174" s="221"/>
      <c r="D174" s="221"/>
      <c r="E174" s="168">
        <f t="shared" si="21"/>
        <v>8000</v>
      </c>
      <c r="F174" s="167" t="s">
        <v>82</v>
      </c>
      <c r="G174" s="167" t="s">
        <v>381</v>
      </c>
      <c r="H174" s="167" t="s">
        <v>382</v>
      </c>
      <c r="I174" s="167" t="s">
        <v>391</v>
      </c>
      <c r="J174" s="167" t="s">
        <v>392</v>
      </c>
      <c r="K174" s="168"/>
      <c r="L174" s="168"/>
      <c r="M174" s="168"/>
      <c r="N174" s="168">
        <v>800</v>
      </c>
      <c r="O174" s="168">
        <v>7200</v>
      </c>
      <c r="P174" s="218" t="b">
        <f t="shared" si="20"/>
        <v>1</v>
      </c>
      <c r="Q174" s="163"/>
      <c r="R174" s="163" t="s">
        <v>61</v>
      </c>
      <c r="S174" s="163" t="s">
        <v>412</v>
      </c>
      <c r="T174" s="164" t="s">
        <v>378</v>
      </c>
      <c r="U174" s="163" t="s">
        <v>413</v>
      </c>
    </row>
    <row r="175" spans="1:21" s="86" customFormat="1" ht="85.5" customHeight="1" thickBot="1">
      <c r="A175" s="216" t="s">
        <v>100</v>
      </c>
      <c r="B175" s="166" t="s">
        <v>416</v>
      </c>
      <c r="C175" s="217" t="s">
        <v>22</v>
      </c>
      <c r="D175" s="217">
        <v>1</v>
      </c>
      <c r="E175" s="168">
        <f t="shared" si="21"/>
        <v>14000</v>
      </c>
      <c r="F175" s="167" t="s">
        <v>82</v>
      </c>
      <c r="G175" s="167" t="s">
        <v>375</v>
      </c>
      <c r="H175" s="167" t="s">
        <v>376</v>
      </c>
      <c r="I175" s="167" t="s">
        <v>381</v>
      </c>
      <c r="J175" s="167" t="s">
        <v>392</v>
      </c>
      <c r="K175" s="168"/>
      <c r="L175" s="168"/>
      <c r="M175" s="168">
        <v>500</v>
      </c>
      <c r="N175" s="168">
        <v>13500</v>
      </c>
      <c r="O175" s="168"/>
      <c r="P175" s="218" t="b">
        <f t="shared" si="20"/>
        <v>1</v>
      </c>
      <c r="Q175" s="163"/>
      <c r="R175" s="163" t="s">
        <v>61</v>
      </c>
      <c r="S175" s="163" t="s">
        <v>377</v>
      </c>
      <c r="T175" s="164" t="s">
        <v>378</v>
      </c>
      <c r="U175" s="163" t="s">
        <v>417</v>
      </c>
    </row>
    <row r="176" spans="1:21" s="86" customFormat="1" ht="47.25" customHeight="1" thickBot="1">
      <c r="A176" s="222"/>
      <c r="B176" s="166" t="s">
        <v>418</v>
      </c>
      <c r="C176" s="221"/>
      <c r="D176" s="221"/>
      <c r="E176" s="168">
        <f t="shared" si="21"/>
        <v>1100</v>
      </c>
      <c r="F176" s="167" t="s">
        <v>82</v>
      </c>
      <c r="G176" s="167" t="s">
        <v>381</v>
      </c>
      <c r="H176" s="167" t="s">
        <v>382</v>
      </c>
      <c r="I176" s="167" t="s">
        <v>391</v>
      </c>
      <c r="J176" s="167" t="s">
        <v>392</v>
      </c>
      <c r="K176" s="168"/>
      <c r="L176" s="168"/>
      <c r="M176" s="168"/>
      <c r="N176" s="168">
        <v>200</v>
      </c>
      <c r="O176" s="168">
        <v>900</v>
      </c>
      <c r="P176" s="218" t="b">
        <f t="shared" si="20"/>
        <v>1</v>
      </c>
      <c r="Q176" s="163"/>
      <c r="R176" s="163" t="s">
        <v>61</v>
      </c>
      <c r="S176" s="163" t="s">
        <v>388</v>
      </c>
      <c r="T176" s="164" t="s">
        <v>378</v>
      </c>
      <c r="U176" s="163" t="s">
        <v>389</v>
      </c>
    </row>
    <row r="177" spans="1:21" s="86" customFormat="1" ht="45.75" thickBot="1">
      <c r="A177" s="216" t="s">
        <v>106</v>
      </c>
      <c r="B177" s="166" t="s">
        <v>419</v>
      </c>
      <c r="C177" s="217" t="s">
        <v>22</v>
      </c>
      <c r="D177" s="217">
        <v>1</v>
      </c>
      <c r="E177" s="168">
        <f t="shared" si="21"/>
        <v>1000</v>
      </c>
      <c r="F177" s="167" t="s">
        <v>82</v>
      </c>
      <c r="G177" s="167" t="s">
        <v>391</v>
      </c>
      <c r="H177" s="167" t="s">
        <v>392</v>
      </c>
      <c r="I177" s="167" t="s">
        <v>420</v>
      </c>
      <c r="J177" s="167" t="s">
        <v>397</v>
      </c>
      <c r="K177" s="168"/>
      <c r="L177" s="168"/>
      <c r="M177" s="168"/>
      <c r="N177" s="168"/>
      <c r="O177" s="168">
        <v>1000</v>
      </c>
      <c r="P177" s="218" t="b">
        <f t="shared" si="20"/>
        <v>1</v>
      </c>
      <c r="Q177" s="163"/>
      <c r="R177" s="163" t="s">
        <v>61</v>
      </c>
      <c r="S177" s="163">
        <v>1.2</v>
      </c>
      <c r="T177" s="164" t="s">
        <v>378</v>
      </c>
      <c r="U177" s="163" t="s">
        <v>421</v>
      </c>
    </row>
    <row r="178" spans="1:21" s="86" customFormat="1" ht="45.75" thickBot="1">
      <c r="A178" s="219"/>
      <c r="B178" s="166" t="s">
        <v>422</v>
      </c>
      <c r="C178" s="220"/>
      <c r="D178" s="220"/>
      <c r="E178" s="168">
        <f t="shared" si="21"/>
        <v>2850</v>
      </c>
      <c r="F178" s="167" t="s">
        <v>82</v>
      </c>
      <c r="G178" s="167" t="s">
        <v>381</v>
      </c>
      <c r="H178" s="167" t="s">
        <v>382</v>
      </c>
      <c r="I178" s="167" t="s">
        <v>391</v>
      </c>
      <c r="J178" s="167" t="s">
        <v>392</v>
      </c>
      <c r="K178" s="168"/>
      <c r="L178" s="168"/>
      <c r="M178" s="168"/>
      <c r="N178" s="168"/>
      <c r="O178" s="168">
        <v>2850</v>
      </c>
      <c r="P178" s="218" t="b">
        <f t="shared" si="20"/>
        <v>1</v>
      </c>
      <c r="Q178" s="163"/>
      <c r="R178" s="163" t="s">
        <v>61</v>
      </c>
      <c r="S178" s="163">
        <v>1.2</v>
      </c>
      <c r="T178" s="164" t="s">
        <v>378</v>
      </c>
      <c r="U178" s="163" t="s">
        <v>389</v>
      </c>
    </row>
    <row r="179" spans="1:21" s="86" customFormat="1" ht="90.75" thickBot="1">
      <c r="A179" s="219"/>
      <c r="B179" s="166" t="s">
        <v>423</v>
      </c>
      <c r="C179" s="220"/>
      <c r="D179" s="220"/>
      <c r="E179" s="168">
        <f t="shared" si="21"/>
        <v>8295</v>
      </c>
      <c r="F179" s="167" t="s">
        <v>56</v>
      </c>
      <c r="G179" s="167" t="s">
        <v>424</v>
      </c>
      <c r="H179" s="167" t="s">
        <v>425</v>
      </c>
      <c r="I179" s="167" t="s">
        <v>373</v>
      </c>
      <c r="J179" s="167" t="s">
        <v>374</v>
      </c>
      <c r="K179" s="168">
        <v>8295</v>
      </c>
      <c r="L179" s="168"/>
      <c r="M179" s="168"/>
      <c r="N179" s="168"/>
      <c r="O179" s="168"/>
      <c r="P179" s="218" t="b">
        <f t="shared" si="20"/>
        <v>1</v>
      </c>
      <c r="Q179" s="163"/>
      <c r="R179" s="163" t="s">
        <v>61</v>
      </c>
      <c r="S179" s="163" t="s">
        <v>426</v>
      </c>
      <c r="T179" s="164" t="s">
        <v>378</v>
      </c>
      <c r="U179" s="163" t="s">
        <v>427</v>
      </c>
    </row>
    <row r="180" spans="1:21" s="86" customFormat="1" ht="45.75" thickBot="1">
      <c r="A180" s="222"/>
      <c r="B180" s="166" t="s">
        <v>428</v>
      </c>
      <c r="C180" s="221"/>
      <c r="D180" s="221"/>
      <c r="E180" s="168">
        <f>K180+L180+M180+N180+O180</f>
        <v>9544</v>
      </c>
      <c r="F180" s="167" t="s">
        <v>56</v>
      </c>
      <c r="G180" s="167" t="s">
        <v>429</v>
      </c>
      <c r="H180" s="167" t="s">
        <v>430</v>
      </c>
      <c r="I180" s="167" t="s">
        <v>381</v>
      </c>
      <c r="J180" s="167" t="s">
        <v>382</v>
      </c>
      <c r="K180" s="168"/>
      <c r="L180" s="168"/>
      <c r="M180" s="168"/>
      <c r="N180" s="168">
        <v>9544</v>
      </c>
      <c r="O180" s="168"/>
      <c r="P180" s="218" t="b">
        <f t="shared" si="20"/>
        <v>1</v>
      </c>
      <c r="Q180" s="163"/>
      <c r="R180" s="163" t="s">
        <v>61</v>
      </c>
      <c r="S180" s="163" t="s">
        <v>426</v>
      </c>
      <c r="T180" s="164" t="s">
        <v>378</v>
      </c>
      <c r="U180" s="163" t="s">
        <v>431</v>
      </c>
    </row>
    <row r="181" spans="1:21" s="86" customFormat="1" ht="45.75" thickBot="1">
      <c r="A181" s="216" t="s">
        <v>110</v>
      </c>
      <c r="B181" s="166" t="s">
        <v>432</v>
      </c>
      <c r="C181" s="217" t="s">
        <v>22</v>
      </c>
      <c r="D181" s="217">
        <v>1</v>
      </c>
      <c r="E181" s="168">
        <f t="shared" si="21"/>
        <v>5400</v>
      </c>
      <c r="F181" s="167" t="s">
        <v>82</v>
      </c>
      <c r="G181" s="167" t="s">
        <v>373</v>
      </c>
      <c r="H181" s="167" t="s">
        <v>374</v>
      </c>
      <c r="I181" s="167" t="s">
        <v>391</v>
      </c>
      <c r="J181" s="167" t="s">
        <v>392</v>
      </c>
      <c r="K181" s="168"/>
      <c r="L181" s="168"/>
      <c r="M181" s="168"/>
      <c r="N181" s="168"/>
      <c r="O181" s="168">
        <v>5400</v>
      </c>
      <c r="P181" s="218" t="b">
        <f t="shared" si="20"/>
        <v>1</v>
      </c>
      <c r="Q181" s="163"/>
      <c r="R181" s="163" t="s">
        <v>61</v>
      </c>
      <c r="S181" s="163" t="s">
        <v>426</v>
      </c>
      <c r="T181" s="164" t="s">
        <v>378</v>
      </c>
      <c r="U181" s="163" t="s">
        <v>433</v>
      </c>
    </row>
    <row r="182" spans="1:21" s="86" customFormat="1" ht="45.75" thickBot="1">
      <c r="A182" s="219"/>
      <c r="B182" s="166" t="s">
        <v>434</v>
      </c>
      <c r="C182" s="220"/>
      <c r="D182" s="220"/>
      <c r="E182" s="168">
        <f t="shared" si="21"/>
        <v>1100</v>
      </c>
      <c r="F182" s="167" t="s">
        <v>82</v>
      </c>
      <c r="G182" s="167" t="s">
        <v>375</v>
      </c>
      <c r="H182" s="167" t="s">
        <v>376</v>
      </c>
      <c r="I182" s="167" t="s">
        <v>381</v>
      </c>
      <c r="J182" s="167" t="s">
        <v>382</v>
      </c>
      <c r="K182" s="168"/>
      <c r="L182" s="168"/>
      <c r="M182" s="168">
        <v>200</v>
      </c>
      <c r="N182" s="168">
        <v>900</v>
      </c>
      <c r="O182" s="168"/>
      <c r="P182" s="218" t="b">
        <f t="shared" si="20"/>
        <v>1</v>
      </c>
      <c r="Q182" s="163"/>
      <c r="R182" s="163" t="s">
        <v>61</v>
      </c>
      <c r="S182" s="163">
        <v>1.2</v>
      </c>
      <c r="T182" s="164" t="s">
        <v>378</v>
      </c>
      <c r="U182" s="163" t="s">
        <v>389</v>
      </c>
    </row>
    <row r="183" spans="1:21" s="86" customFormat="1" ht="45.75" thickBot="1">
      <c r="A183" s="222"/>
      <c r="B183" s="166" t="s">
        <v>435</v>
      </c>
      <c r="C183" s="221"/>
      <c r="D183" s="221"/>
      <c r="E183" s="168">
        <f t="shared" si="21"/>
        <v>730.41</v>
      </c>
      <c r="F183" s="167" t="s">
        <v>56</v>
      </c>
      <c r="G183" s="167" t="s">
        <v>409</v>
      </c>
      <c r="H183" s="167" t="s">
        <v>410</v>
      </c>
      <c r="I183" s="167" t="s">
        <v>373</v>
      </c>
      <c r="J183" s="167" t="s">
        <v>374</v>
      </c>
      <c r="K183" s="168">
        <v>730.41</v>
      </c>
      <c r="L183" s="168"/>
      <c r="M183" s="168"/>
      <c r="N183" s="168"/>
      <c r="O183" s="168"/>
      <c r="P183" s="218" t="b">
        <f t="shared" si="20"/>
        <v>1</v>
      </c>
      <c r="Q183" s="163"/>
      <c r="R183" s="163" t="s">
        <v>61</v>
      </c>
      <c r="S183" s="163" t="s">
        <v>426</v>
      </c>
      <c r="T183" s="164" t="s">
        <v>378</v>
      </c>
      <c r="U183" s="163" t="s">
        <v>436</v>
      </c>
    </row>
    <row r="184" spans="1:21" s="86" customFormat="1" ht="45.75" thickBot="1">
      <c r="A184" s="216" t="s">
        <v>113</v>
      </c>
      <c r="B184" s="166" t="s">
        <v>437</v>
      </c>
      <c r="C184" s="217" t="s">
        <v>22</v>
      </c>
      <c r="D184" s="217">
        <v>1</v>
      </c>
      <c r="E184" s="168">
        <f t="shared" si="21"/>
        <v>100</v>
      </c>
      <c r="F184" s="167" t="s">
        <v>82</v>
      </c>
      <c r="G184" s="167" t="s">
        <v>391</v>
      </c>
      <c r="H184" s="167" t="s">
        <v>392</v>
      </c>
      <c r="I184" s="167" t="s">
        <v>393</v>
      </c>
      <c r="J184" s="167" t="s">
        <v>394</v>
      </c>
      <c r="K184" s="168"/>
      <c r="L184" s="168"/>
      <c r="M184" s="168"/>
      <c r="N184" s="168"/>
      <c r="O184" s="168">
        <v>100</v>
      </c>
      <c r="P184" s="218" t="b">
        <f t="shared" si="20"/>
        <v>1</v>
      </c>
      <c r="Q184" s="163"/>
      <c r="R184" s="163" t="s">
        <v>61</v>
      </c>
      <c r="S184" s="163">
        <v>1.2</v>
      </c>
      <c r="T184" s="164" t="s">
        <v>378</v>
      </c>
      <c r="U184" s="163" t="s">
        <v>389</v>
      </c>
    </row>
    <row r="185" spans="1:21" s="86" customFormat="1" ht="45.75" thickBot="1">
      <c r="A185" s="219"/>
      <c r="B185" s="166" t="s">
        <v>438</v>
      </c>
      <c r="C185" s="220"/>
      <c r="D185" s="220"/>
      <c r="E185" s="168">
        <f t="shared" si="21"/>
        <v>1500</v>
      </c>
      <c r="F185" s="167" t="s">
        <v>82</v>
      </c>
      <c r="G185" s="167" t="s">
        <v>375</v>
      </c>
      <c r="H185" s="167" t="s">
        <v>376</v>
      </c>
      <c r="I185" s="167" t="s">
        <v>381</v>
      </c>
      <c r="J185" s="167" t="s">
        <v>382</v>
      </c>
      <c r="K185" s="168"/>
      <c r="L185" s="168"/>
      <c r="M185" s="168">
        <v>150</v>
      </c>
      <c r="N185" s="168">
        <v>1350</v>
      </c>
      <c r="O185" s="168"/>
      <c r="P185" s="218" t="b">
        <f t="shared" si="20"/>
        <v>1</v>
      </c>
      <c r="Q185" s="163"/>
      <c r="R185" s="163" t="s">
        <v>61</v>
      </c>
      <c r="S185" s="163" t="s">
        <v>439</v>
      </c>
      <c r="T185" s="164" t="s">
        <v>378</v>
      </c>
      <c r="U185" s="163" t="s">
        <v>440</v>
      </c>
    </row>
    <row r="186" spans="1:21" s="86" customFormat="1" ht="60.75" thickBot="1">
      <c r="A186" s="219"/>
      <c r="B186" s="166" t="s">
        <v>441</v>
      </c>
      <c r="C186" s="220"/>
      <c r="D186" s="220"/>
      <c r="E186" s="168">
        <f t="shared" si="21"/>
        <v>7964.41</v>
      </c>
      <c r="F186" s="167" t="s">
        <v>56</v>
      </c>
      <c r="G186" s="167" t="s">
        <v>409</v>
      </c>
      <c r="H186" s="167" t="s">
        <v>410</v>
      </c>
      <c r="I186" s="167" t="s">
        <v>373</v>
      </c>
      <c r="J186" s="167" t="s">
        <v>374</v>
      </c>
      <c r="K186" s="168">
        <v>7964.41</v>
      </c>
      <c r="L186" s="168"/>
      <c r="M186" s="168"/>
      <c r="N186" s="168"/>
      <c r="O186" s="168"/>
      <c r="P186" s="218" t="b">
        <f t="shared" si="20"/>
        <v>1</v>
      </c>
      <c r="Q186" s="163"/>
      <c r="R186" s="163" t="s">
        <v>61</v>
      </c>
      <c r="S186" s="163" t="s">
        <v>412</v>
      </c>
      <c r="T186" s="164" t="s">
        <v>378</v>
      </c>
      <c r="U186" s="163" t="s">
        <v>442</v>
      </c>
    </row>
    <row r="187" spans="1:21" s="86" customFormat="1" ht="90.75" thickBot="1">
      <c r="A187" s="219"/>
      <c r="B187" s="166" t="s">
        <v>443</v>
      </c>
      <c r="C187" s="220"/>
      <c r="D187" s="220"/>
      <c r="E187" s="168">
        <f t="shared" si="21"/>
        <v>500</v>
      </c>
      <c r="F187" s="167" t="s">
        <v>82</v>
      </c>
      <c r="G187" s="167" t="s">
        <v>381</v>
      </c>
      <c r="H187" s="167" t="s">
        <v>382</v>
      </c>
      <c r="I187" s="167" t="s">
        <v>393</v>
      </c>
      <c r="J187" s="167" t="s">
        <v>394</v>
      </c>
      <c r="K187" s="168"/>
      <c r="L187" s="168"/>
      <c r="M187" s="168"/>
      <c r="N187" s="168">
        <v>500</v>
      </c>
      <c r="O187" s="168"/>
      <c r="P187" s="218" t="b">
        <f t="shared" si="20"/>
        <v>1</v>
      </c>
      <c r="Q187" s="163"/>
      <c r="R187" s="163" t="s">
        <v>61</v>
      </c>
      <c r="S187" s="163" t="s">
        <v>412</v>
      </c>
      <c r="T187" s="164" t="s">
        <v>378</v>
      </c>
      <c r="U187" s="163" t="s">
        <v>444</v>
      </c>
    </row>
    <row r="188" spans="1:21" s="86" customFormat="1" ht="45.75" thickBot="1">
      <c r="A188" s="222"/>
      <c r="B188" s="166" t="s">
        <v>445</v>
      </c>
      <c r="C188" s="221"/>
      <c r="D188" s="221"/>
      <c r="E188" s="168">
        <f t="shared" si="21"/>
        <v>4000</v>
      </c>
      <c r="F188" s="167" t="s">
        <v>82</v>
      </c>
      <c r="G188" s="167" t="s">
        <v>375</v>
      </c>
      <c r="H188" s="167" t="s">
        <v>376</v>
      </c>
      <c r="I188" s="167" t="s">
        <v>381</v>
      </c>
      <c r="J188" s="167" t="s">
        <v>382</v>
      </c>
      <c r="K188" s="168"/>
      <c r="L188" s="168"/>
      <c r="M188" s="168">
        <v>400</v>
      </c>
      <c r="N188" s="168">
        <v>3600</v>
      </c>
      <c r="O188" s="168"/>
      <c r="P188" s="218" t="b">
        <f t="shared" si="20"/>
        <v>1</v>
      </c>
      <c r="Q188" s="163"/>
      <c r="R188" s="163" t="s">
        <v>61</v>
      </c>
      <c r="S188" s="163" t="s">
        <v>412</v>
      </c>
      <c r="T188" s="164" t="s">
        <v>378</v>
      </c>
      <c r="U188" s="163" t="s">
        <v>413</v>
      </c>
    </row>
    <row r="189" spans="1:21" s="86" customFormat="1" ht="45.75" thickBot="1">
      <c r="A189" s="216" t="s">
        <v>117</v>
      </c>
      <c r="B189" s="166" t="s">
        <v>446</v>
      </c>
      <c r="C189" s="217" t="s">
        <v>22</v>
      </c>
      <c r="D189" s="217">
        <v>1</v>
      </c>
      <c r="E189" s="168">
        <f t="shared" si="21"/>
        <v>400</v>
      </c>
      <c r="F189" s="167" t="s">
        <v>82</v>
      </c>
      <c r="G189" s="167" t="s">
        <v>381</v>
      </c>
      <c r="H189" s="167" t="s">
        <v>382</v>
      </c>
      <c r="I189" s="167" t="s">
        <v>393</v>
      </c>
      <c r="J189" s="167" t="s">
        <v>394</v>
      </c>
      <c r="K189" s="168"/>
      <c r="L189" s="168"/>
      <c r="M189" s="168"/>
      <c r="N189" s="168">
        <v>400</v>
      </c>
      <c r="O189" s="168"/>
      <c r="P189" s="218" t="b">
        <f t="shared" si="20"/>
        <v>1</v>
      </c>
      <c r="Q189" s="163"/>
      <c r="R189" s="163" t="s">
        <v>61</v>
      </c>
      <c r="S189" s="163" t="s">
        <v>447</v>
      </c>
      <c r="T189" s="164" t="s">
        <v>378</v>
      </c>
      <c r="U189" s="163" t="s">
        <v>448</v>
      </c>
    </row>
    <row r="190" spans="1:21" s="86" customFormat="1" ht="60.75" thickBot="1">
      <c r="A190" s="219"/>
      <c r="B190" s="166" t="s">
        <v>449</v>
      </c>
      <c r="C190" s="220"/>
      <c r="D190" s="220"/>
      <c r="E190" s="168">
        <f t="shared" si="21"/>
        <v>6000</v>
      </c>
      <c r="F190" s="167" t="s">
        <v>82</v>
      </c>
      <c r="G190" s="167" t="s">
        <v>375</v>
      </c>
      <c r="H190" s="167" t="s">
        <v>376</v>
      </c>
      <c r="I190" s="167" t="s">
        <v>381</v>
      </c>
      <c r="J190" s="167" t="s">
        <v>382</v>
      </c>
      <c r="K190" s="168"/>
      <c r="L190" s="168"/>
      <c r="M190" s="168">
        <v>600</v>
      </c>
      <c r="N190" s="168">
        <f>5400</f>
        <v>5400</v>
      </c>
      <c r="O190" s="168"/>
      <c r="P190" s="218" t="b">
        <f t="shared" si="20"/>
        <v>1</v>
      </c>
      <c r="Q190" s="163"/>
      <c r="R190" s="163" t="s">
        <v>61</v>
      </c>
      <c r="S190" s="163" t="s">
        <v>412</v>
      </c>
      <c r="T190" s="164" t="s">
        <v>378</v>
      </c>
      <c r="U190" s="163" t="s">
        <v>450</v>
      </c>
    </row>
    <row r="191" spans="1:21" s="86" customFormat="1" ht="36" customHeight="1" thickBot="1">
      <c r="A191" s="219"/>
      <c r="B191" s="166" t="s">
        <v>451</v>
      </c>
      <c r="C191" s="220"/>
      <c r="D191" s="220"/>
      <c r="E191" s="168">
        <f t="shared" si="21"/>
        <v>1500</v>
      </c>
      <c r="F191" s="167" t="s">
        <v>82</v>
      </c>
      <c r="G191" s="167" t="s">
        <v>381</v>
      </c>
      <c r="H191" s="167" t="s">
        <v>382</v>
      </c>
      <c r="I191" s="167" t="s">
        <v>391</v>
      </c>
      <c r="J191" s="167" t="s">
        <v>392</v>
      </c>
      <c r="K191" s="168"/>
      <c r="L191" s="168"/>
      <c r="M191" s="168"/>
      <c r="N191" s="168">
        <v>150</v>
      </c>
      <c r="O191" s="168">
        <v>1350</v>
      </c>
      <c r="P191" s="218" t="b">
        <f t="shared" si="20"/>
        <v>1</v>
      </c>
      <c r="Q191" s="163"/>
      <c r="R191" s="163" t="s">
        <v>61</v>
      </c>
      <c r="S191" s="163" t="s">
        <v>412</v>
      </c>
      <c r="T191" s="164" t="s">
        <v>378</v>
      </c>
      <c r="U191" s="163" t="s">
        <v>452</v>
      </c>
    </row>
    <row r="192" spans="1:21" s="86" customFormat="1" ht="45.75" customHeight="1" thickBot="1">
      <c r="A192" s="222"/>
      <c r="B192" s="166" t="s">
        <v>453</v>
      </c>
      <c r="C192" s="221"/>
      <c r="D192" s="221"/>
      <c r="E192" s="168">
        <f t="shared" si="21"/>
        <v>4000</v>
      </c>
      <c r="F192" s="167" t="s">
        <v>82</v>
      </c>
      <c r="G192" s="167" t="s">
        <v>375</v>
      </c>
      <c r="H192" s="167" t="s">
        <v>376</v>
      </c>
      <c r="I192" s="167" t="s">
        <v>381</v>
      </c>
      <c r="J192" s="167" t="s">
        <v>382</v>
      </c>
      <c r="K192" s="168"/>
      <c r="L192" s="168"/>
      <c r="M192" s="168">
        <v>400</v>
      </c>
      <c r="N192" s="168">
        <v>3600</v>
      </c>
      <c r="O192" s="168"/>
      <c r="P192" s="218" t="b">
        <f t="shared" si="20"/>
        <v>1</v>
      </c>
      <c r="Q192" s="163"/>
      <c r="R192" s="163" t="s">
        <v>61</v>
      </c>
      <c r="S192" s="163" t="s">
        <v>412</v>
      </c>
      <c r="T192" s="164" t="s">
        <v>378</v>
      </c>
      <c r="U192" s="163" t="s">
        <v>454</v>
      </c>
    </row>
    <row r="193" spans="1:21" s="86" customFormat="1" ht="45.75" thickBot="1">
      <c r="A193" s="216" t="s">
        <v>202</v>
      </c>
      <c r="B193" s="166" t="s">
        <v>455</v>
      </c>
      <c r="C193" s="167" t="s">
        <v>22</v>
      </c>
      <c r="D193" s="217">
        <v>1</v>
      </c>
      <c r="E193" s="168">
        <f t="shared" si="21"/>
        <v>12000</v>
      </c>
      <c r="F193" s="167" t="s">
        <v>82</v>
      </c>
      <c r="G193" s="167" t="s">
        <v>382</v>
      </c>
      <c r="H193" s="167" t="s">
        <v>391</v>
      </c>
      <c r="I193" s="167" t="s">
        <v>382</v>
      </c>
      <c r="J193" s="167" t="s">
        <v>392</v>
      </c>
      <c r="K193" s="168"/>
      <c r="L193" s="168"/>
      <c r="M193" s="168"/>
      <c r="N193" s="168">
        <v>3000</v>
      </c>
      <c r="O193" s="168">
        <v>9000</v>
      </c>
      <c r="P193" s="218" t="b">
        <f t="shared" si="20"/>
        <v>1</v>
      </c>
      <c r="Q193" s="163"/>
      <c r="R193" s="163" t="s">
        <v>61</v>
      </c>
      <c r="S193" s="163" t="s">
        <v>426</v>
      </c>
      <c r="T193" s="164" t="s">
        <v>378</v>
      </c>
      <c r="U193" s="163" t="s">
        <v>456</v>
      </c>
    </row>
    <row r="194" spans="1:21" s="86" customFormat="1" ht="161.25" customHeight="1" thickBot="1">
      <c r="A194" s="219"/>
      <c r="B194" s="166" t="s">
        <v>457</v>
      </c>
      <c r="C194" s="167" t="s">
        <v>22</v>
      </c>
      <c r="D194" s="220"/>
      <c r="E194" s="168">
        <f t="shared" si="21"/>
        <v>500</v>
      </c>
      <c r="F194" s="167" t="s">
        <v>82</v>
      </c>
      <c r="G194" s="167" t="s">
        <v>391</v>
      </c>
      <c r="H194" s="167" t="s">
        <v>392</v>
      </c>
      <c r="I194" s="167" t="s">
        <v>393</v>
      </c>
      <c r="J194" s="167" t="s">
        <v>394</v>
      </c>
      <c r="K194" s="168"/>
      <c r="L194" s="168"/>
      <c r="M194" s="168"/>
      <c r="N194" s="168"/>
      <c r="O194" s="168">
        <v>500</v>
      </c>
      <c r="P194" s="218" t="b">
        <f t="shared" si="20"/>
        <v>1</v>
      </c>
      <c r="Q194" s="163"/>
      <c r="R194" s="163" t="s">
        <v>61</v>
      </c>
      <c r="S194" s="163" t="s">
        <v>426</v>
      </c>
      <c r="T194" s="164" t="s">
        <v>378</v>
      </c>
      <c r="U194" s="163" t="s">
        <v>458</v>
      </c>
    </row>
    <row r="195" spans="1:21" s="86" customFormat="1" ht="144" customHeight="1" thickBot="1">
      <c r="A195" s="223"/>
      <c r="B195" s="166" t="s">
        <v>459</v>
      </c>
      <c r="C195" s="167" t="s">
        <v>22</v>
      </c>
      <c r="D195" s="221"/>
      <c r="E195" s="168">
        <f t="shared" si="21"/>
        <v>100</v>
      </c>
      <c r="F195" s="167" t="s">
        <v>82</v>
      </c>
      <c r="G195" s="167" t="s">
        <v>391</v>
      </c>
      <c r="H195" s="167" t="s">
        <v>392</v>
      </c>
      <c r="I195" s="167" t="s">
        <v>420</v>
      </c>
      <c r="J195" s="167" t="s">
        <v>397</v>
      </c>
      <c r="K195" s="168"/>
      <c r="L195" s="168"/>
      <c r="M195" s="168"/>
      <c r="N195" s="168"/>
      <c r="O195" s="168">
        <v>100</v>
      </c>
      <c r="P195" s="218" t="b">
        <f t="shared" si="20"/>
        <v>1</v>
      </c>
      <c r="Q195" s="163"/>
      <c r="R195" s="163" t="s">
        <v>61</v>
      </c>
      <c r="S195" s="163" t="s">
        <v>426</v>
      </c>
      <c r="T195" s="164" t="s">
        <v>378</v>
      </c>
      <c r="U195" s="163" t="s">
        <v>460</v>
      </c>
    </row>
    <row r="196" spans="1:21" s="86" customFormat="1" ht="90.75" thickBot="1">
      <c r="A196" s="225" t="s">
        <v>207</v>
      </c>
      <c r="B196" s="166" t="s">
        <v>461</v>
      </c>
      <c r="C196" s="226" t="s">
        <v>22</v>
      </c>
      <c r="D196" s="226">
        <v>1</v>
      </c>
      <c r="E196" s="227">
        <f>K196+L196+M196+N196+O196</f>
        <v>10550</v>
      </c>
      <c r="F196" s="228" t="s">
        <v>82</v>
      </c>
      <c r="G196" s="228" t="s">
        <v>381</v>
      </c>
      <c r="H196" s="228" t="s">
        <v>382</v>
      </c>
      <c r="I196" s="228" t="s">
        <v>391</v>
      </c>
      <c r="J196" s="228" t="s">
        <v>392</v>
      </c>
      <c r="K196" s="227"/>
      <c r="L196" s="227"/>
      <c r="M196" s="227"/>
      <c r="N196" s="227">
        <v>850</v>
      </c>
      <c r="O196" s="227">
        <v>9700</v>
      </c>
      <c r="P196" s="210" t="b">
        <f t="shared" si="20"/>
        <v>1</v>
      </c>
      <c r="Q196" s="163"/>
      <c r="R196" s="163" t="s">
        <v>61</v>
      </c>
      <c r="S196" s="163" t="s">
        <v>412</v>
      </c>
      <c r="T196" s="163" t="s">
        <v>462</v>
      </c>
      <c r="U196" s="163" t="s">
        <v>463</v>
      </c>
    </row>
    <row r="197" spans="1:21" s="86" customFormat="1" ht="45.75" thickBot="1">
      <c r="A197" s="229"/>
      <c r="B197" s="230" t="s">
        <v>464</v>
      </c>
      <c r="C197" s="231"/>
      <c r="D197" s="231"/>
      <c r="E197" s="227">
        <f t="shared" si="21"/>
        <v>900</v>
      </c>
      <c r="F197" s="228" t="s">
        <v>82</v>
      </c>
      <c r="G197" s="228" t="s">
        <v>374</v>
      </c>
      <c r="H197" s="228" t="s">
        <v>373</v>
      </c>
      <c r="I197" s="228" t="s">
        <v>387</v>
      </c>
      <c r="J197" s="228" t="s">
        <v>387</v>
      </c>
      <c r="K197" s="227"/>
      <c r="L197" s="227">
        <v>900</v>
      </c>
      <c r="M197" s="227"/>
      <c r="N197" s="227"/>
      <c r="O197" s="227"/>
      <c r="P197" s="210" t="b">
        <f t="shared" si="20"/>
        <v>1</v>
      </c>
      <c r="Q197" s="163"/>
      <c r="R197" s="163" t="s">
        <v>61</v>
      </c>
      <c r="S197" s="163">
        <v>1.2</v>
      </c>
      <c r="T197" s="164" t="s">
        <v>378</v>
      </c>
      <c r="U197" s="163" t="s">
        <v>389</v>
      </c>
    </row>
    <row r="198" spans="1:21" s="86" customFormat="1" ht="60" customHeight="1" thickBot="1">
      <c r="A198" s="229"/>
      <c r="B198" s="230" t="s">
        <v>465</v>
      </c>
      <c r="C198" s="231"/>
      <c r="D198" s="231"/>
      <c r="E198" s="227">
        <f t="shared" si="21"/>
        <v>8000</v>
      </c>
      <c r="F198" s="228" t="s">
        <v>82</v>
      </c>
      <c r="G198" s="228" t="s">
        <v>373</v>
      </c>
      <c r="H198" s="228" t="s">
        <v>374</v>
      </c>
      <c r="I198" s="228" t="s">
        <v>381</v>
      </c>
      <c r="J198" s="228" t="s">
        <v>382</v>
      </c>
      <c r="K198" s="227"/>
      <c r="L198" s="227"/>
      <c r="M198" s="227"/>
      <c r="N198" s="227">
        <v>8000</v>
      </c>
      <c r="O198" s="232"/>
      <c r="P198" s="210" t="b">
        <f t="shared" si="20"/>
        <v>1</v>
      </c>
      <c r="Q198" s="163"/>
      <c r="R198" s="163" t="s">
        <v>61</v>
      </c>
      <c r="S198" s="163">
        <v>1.2</v>
      </c>
      <c r="T198" s="164" t="s">
        <v>378</v>
      </c>
      <c r="U198" s="163" t="s">
        <v>384</v>
      </c>
    </row>
    <row r="199" spans="1:21" s="86" customFormat="1" ht="45.75" thickBot="1">
      <c r="A199" s="229"/>
      <c r="B199" s="230" t="s">
        <v>466</v>
      </c>
      <c r="C199" s="231"/>
      <c r="D199" s="231"/>
      <c r="E199" s="227">
        <f t="shared" si="21"/>
        <v>6000</v>
      </c>
      <c r="F199" s="228" t="s">
        <v>82</v>
      </c>
      <c r="G199" s="228" t="s">
        <v>375</v>
      </c>
      <c r="H199" s="228" t="s">
        <v>376</v>
      </c>
      <c r="I199" s="228" t="s">
        <v>381</v>
      </c>
      <c r="J199" s="228" t="s">
        <v>382</v>
      </c>
      <c r="K199" s="227"/>
      <c r="L199" s="227"/>
      <c r="M199" s="227">
        <v>600</v>
      </c>
      <c r="N199" s="227">
        <v>5400</v>
      </c>
      <c r="O199" s="227"/>
      <c r="P199" s="210" t="b">
        <f t="shared" si="20"/>
        <v>1</v>
      </c>
      <c r="Q199" s="163"/>
      <c r="R199" s="163" t="s">
        <v>61</v>
      </c>
      <c r="S199" s="163" t="s">
        <v>412</v>
      </c>
      <c r="T199" s="164" t="s">
        <v>378</v>
      </c>
      <c r="U199" s="163" t="s">
        <v>467</v>
      </c>
    </row>
    <row r="200" spans="1:21" s="86" customFormat="1" ht="45.75" thickBot="1">
      <c r="A200" s="233"/>
      <c r="B200" s="230" t="s">
        <v>468</v>
      </c>
      <c r="C200" s="234"/>
      <c r="D200" s="234"/>
      <c r="E200" s="227">
        <f t="shared" si="21"/>
        <v>3600</v>
      </c>
      <c r="F200" s="228" t="s">
        <v>82</v>
      </c>
      <c r="G200" s="228" t="s">
        <v>373</v>
      </c>
      <c r="H200" s="228" t="s">
        <v>374</v>
      </c>
      <c r="I200" s="228" t="s">
        <v>386</v>
      </c>
      <c r="J200" s="228" t="s">
        <v>387</v>
      </c>
      <c r="K200" s="227"/>
      <c r="L200" s="227">
        <v>3600</v>
      </c>
      <c r="M200" s="227"/>
      <c r="N200" s="227"/>
      <c r="O200" s="227"/>
      <c r="P200" s="210" t="b">
        <f t="shared" si="20"/>
        <v>1</v>
      </c>
      <c r="Q200" s="163"/>
      <c r="R200" s="163" t="s">
        <v>61</v>
      </c>
      <c r="S200" s="163" t="s">
        <v>412</v>
      </c>
      <c r="T200" s="164" t="s">
        <v>378</v>
      </c>
      <c r="U200" s="163" t="s">
        <v>469</v>
      </c>
    </row>
    <row r="201" spans="1:21" s="86" customFormat="1" ht="45.75" thickBot="1">
      <c r="A201" s="170" t="s">
        <v>122</v>
      </c>
      <c r="B201" s="230" t="s">
        <v>470</v>
      </c>
      <c r="C201" s="228" t="s">
        <v>22</v>
      </c>
      <c r="D201" s="228">
        <v>1</v>
      </c>
      <c r="E201" s="227">
        <f t="shared" si="21"/>
        <v>1000</v>
      </c>
      <c r="F201" s="228" t="s">
        <v>82</v>
      </c>
      <c r="G201" s="228" t="s">
        <v>382</v>
      </c>
      <c r="H201" s="228" t="s">
        <v>381</v>
      </c>
      <c r="I201" s="228" t="s">
        <v>392</v>
      </c>
      <c r="J201" s="228" t="s">
        <v>392</v>
      </c>
      <c r="K201" s="227"/>
      <c r="L201" s="227"/>
      <c r="M201" s="227"/>
      <c r="N201" s="227">
        <v>100</v>
      </c>
      <c r="O201" s="227">
        <v>900</v>
      </c>
      <c r="P201" s="210" t="b">
        <f t="shared" si="20"/>
        <v>1</v>
      </c>
      <c r="Q201" s="163"/>
      <c r="R201" s="163" t="s">
        <v>61</v>
      </c>
      <c r="S201" s="163">
        <v>1.2</v>
      </c>
      <c r="T201" s="164" t="s">
        <v>378</v>
      </c>
      <c r="U201" s="163" t="s">
        <v>389</v>
      </c>
    </row>
    <row r="202" spans="1:21" s="86" customFormat="1" ht="45.75" thickBot="1">
      <c r="A202" s="170" t="s">
        <v>132</v>
      </c>
      <c r="B202" s="230" t="s">
        <v>471</v>
      </c>
      <c r="C202" s="228" t="s">
        <v>22</v>
      </c>
      <c r="D202" s="228">
        <v>1</v>
      </c>
      <c r="E202" s="227">
        <f t="shared" si="21"/>
        <v>1000</v>
      </c>
      <c r="F202" s="228" t="s">
        <v>82</v>
      </c>
      <c r="G202" s="228" t="s">
        <v>376</v>
      </c>
      <c r="H202" s="228" t="s">
        <v>375</v>
      </c>
      <c r="I202" s="228" t="s">
        <v>382</v>
      </c>
      <c r="J202" s="228" t="s">
        <v>382</v>
      </c>
      <c r="K202" s="227"/>
      <c r="L202" s="227"/>
      <c r="M202" s="227">
        <v>100</v>
      </c>
      <c r="N202" s="227">
        <v>900</v>
      </c>
      <c r="O202" s="227"/>
      <c r="P202" s="210" t="b">
        <f t="shared" si="20"/>
        <v>1</v>
      </c>
      <c r="Q202" s="163"/>
      <c r="R202" s="163" t="s">
        <v>61</v>
      </c>
      <c r="S202" s="163">
        <v>1.2</v>
      </c>
      <c r="T202" s="164" t="s">
        <v>378</v>
      </c>
      <c r="U202" s="163" t="s">
        <v>389</v>
      </c>
    </row>
    <row r="203" spans="1:21" s="86" customFormat="1" ht="45.75" thickBot="1">
      <c r="A203" s="216" t="s">
        <v>217</v>
      </c>
      <c r="B203" s="230" t="s">
        <v>472</v>
      </c>
      <c r="C203" s="226" t="s">
        <v>22</v>
      </c>
      <c r="D203" s="226">
        <v>1</v>
      </c>
      <c r="E203" s="227">
        <f t="shared" si="21"/>
        <v>4072</v>
      </c>
      <c r="F203" s="228" t="s">
        <v>473</v>
      </c>
      <c r="G203" s="228" t="s">
        <v>409</v>
      </c>
      <c r="H203" s="228" t="s">
        <v>410</v>
      </c>
      <c r="I203" s="228" t="s">
        <v>381</v>
      </c>
      <c r="J203" s="228" t="s">
        <v>382</v>
      </c>
      <c r="K203" s="227"/>
      <c r="L203" s="227"/>
      <c r="M203" s="227"/>
      <c r="N203" s="227">
        <v>4072</v>
      </c>
      <c r="O203" s="227"/>
      <c r="P203" s="210" t="b">
        <f t="shared" si="20"/>
        <v>1</v>
      </c>
      <c r="Q203" s="163"/>
      <c r="R203" s="163" t="s">
        <v>61</v>
      </c>
      <c r="S203" s="163" t="s">
        <v>426</v>
      </c>
      <c r="T203" s="164" t="s">
        <v>378</v>
      </c>
      <c r="U203" s="163" t="s">
        <v>474</v>
      </c>
    </row>
    <row r="204" spans="1:21" s="86" customFormat="1" ht="45.75" thickBot="1">
      <c r="A204" s="219"/>
      <c r="B204" s="230" t="s">
        <v>475</v>
      </c>
      <c r="C204" s="234"/>
      <c r="D204" s="231"/>
      <c r="E204" s="227">
        <f t="shared" si="21"/>
        <v>1805.98</v>
      </c>
      <c r="F204" s="228" t="s">
        <v>473</v>
      </c>
      <c r="G204" s="228" t="s">
        <v>409</v>
      </c>
      <c r="H204" s="228" t="s">
        <v>410</v>
      </c>
      <c r="I204" s="228" t="s">
        <v>373</v>
      </c>
      <c r="J204" s="228" t="s">
        <v>374</v>
      </c>
      <c r="K204" s="227">
        <v>1805.98</v>
      </c>
      <c r="L204" s="227"/>
      <c r="M204" s="227"/>
      <c r="N204" s="227"/>
      <c r="O204" s="227"/>
      <c r="P204" s="210" t="b">
        <f t="shared" si="20"/>
        <v>1</v>
      </c>
      <c r="Q204" s="163"/>
      <c r="R204" s="163" t="s">
        <v>61</v>
      </c>
      <c r="S204" s="163">
        <v>1.2</v>
      </c>
      <c r="T204" s="164" t="s">
        <v>378</v>
      </c>
      <c r="U204" s="163" t="s">
        <v>389</v>
      </c>
    </row>
    <row r="205" spans="1:21" s="86" customFormat="1" ht="45.75" thickBot="1">
      <c r="A205" s="224"/>
      <c r="B205" s="230" t="s">
        <v>476</v>
      </c>
      <c r="C205" s="228" t="s">
        <v>22</v>
      </c>
      <c r="D205" s="234"/>
      <c r="E205" s="227">
        <f t="shared" si="21"/>
        <v>5300</v>
      </c>
      <c r="F205" s="228" t="s">
        <v>82</v>
      </c>
      <c r="G205" s="228" t="s">
        <v>381</v>
      </c>
      <c r="H205" s="228" t="s">
        <v>382</v>
      </c>
      <c r="I205" s="228" t="s">
        <v>391</v>
      </c>
      <c r="J205" s="228" t="s">
        <v>392</v>
      </c>
      <c r="K205" s="227"/>
      <c r="L205" s="227"/>
      <c r="M205" s="227"/>
      <c r="N205" s="227">
        <v>300</v>
      </c>
      <c r="O205" s="227">
        <v>5000</v>
      </c>
      <c r="P205" s="210" t="b">
        <f t="shared" si="20"/>
        <v>1</v>
      </c>
      <c r="Q205" s="163"/>
      <c r="R205" s="163" t="s">
        <v>61</v>
      </c>
      <c r="S205" s="163" t="s">
        <v>426</v>
      </c>
      <c r="T205" s="164" t="s">
        <v>378</v>
      </c>
      <c r="U205" s="163" t="s">
        <v>477</v>
      </c>
    </row>
    <row r="206" spans="1:21" s="86" customFormat="1" ht="75.75" thickBot="1">
      <c r="A206" s="170" t="s">
        <v>222</v>
      </c>
      <c r="B206" s="230" t="s">
        <v>478</v>
      </c>
      <c r="C206" s="228" t="s">
        <v>22</v>
      </c>
      <c r="D206" s="228">
        <v>1</v>
      </c>
      <c r="E206" s="227">
        <f t="shared" si="21"/>
        <v>1000</v>
      </c>
      <c r="F206" s="228" t="s">
        <v>82</v>
      </c>
      <c r="G206" s="228" t="s">
        <v>391</v>
      </c>
      <c r="H206" s="228" t="s">
        <v>392</v>
      </c>
      <c r="I206" s="228" t="s">
        <v>420</v>
      </c>
      <c r="J206" s="228" t="s">
        <v>397</v>
      </c>
      <c r="K206" s="227"/>
      <c r="L206" s="227"/>
      <c r="M206" s="227"/>
      <c r="N206" s="227"/>
      <c r="O206" s="227">
        <v>1000</v>
      </c>
      <c r="P206" s="210" t="b">
        <f t="shared" si="20"/>
        <v>1</v>
      </c>
      <c r="Q206" s="163"/>
      <c r="R206" s="163" t="s">
        <v>61</v>
      </c>
      <c r="S206" s="163" t="s">
        <v>426</v>
      </c>
      <c r="T206" s="164" t="s">
        <v>378</v>
      </c>
      <c r="U206" s="163" t="s">
        <v>479</v>
      </c>
    </row>
    <row r="207" spans="1:21" s="86" customFormat="1" ht="45.75" thickBot="1">
      <c r="A207" s="170" t="s">
        <v>135</v>
      </c>
      <c r="B207" s="230" t="s">
        <v>480</v>
      </c>
      <c r="C207" s="228" t="s">
        <v>22</v>
      </c>
      <c r="D207" s="228">
        <v>1</v>
      </c>
      <c r="E207" s="227">
        <f t="shared" si="21"/>
        <v>10000</v>
      </c>
      <c r="F207" s="228" t="s">
        <v>82</v>
      </c>
      <c r="G207" s="228" t="s">
        <v>382</v>
      </c>
      <c r="H207" s="228" t="s">
        <v>381</v>
      </c>
      <c r="I207" s="228" t="s">
        <v>392</v>
      </c>
      <c r="J207" s="228" t="s">
        <v>392</v>
      </c>
      <c r="K207" s="227"/>
      <c r="L207" s="227"/>
      <c r="M207" s="227"/>
      <c r="N207" s="227">
        <v>1000</v>
      </c>
      <c r="O207" s="227">
        <v>9000</v>
      </c>
      <c r="P207" s="210" t="b">
        <f t="shared" si="20"/>
        <v>1</v>
      </c>
      <c r="Q207" s="163"/>
      <c r="R207" s="163" t="s">
        <v>61</v>
      </c>
      <c r="S207" s="163" t="s">
        <v>426</v>
      </c>
      <c r="T207" s="164" t="s">
        <v>378</v>
      </c>
      <c r="U207" s="163" t="s">
        <v>481</v>
      </c>
    </row>
    <row r="208" spans="1:21" s="86" customFormat="1" ht="75.75" thickBot="1">
      <c r="A208" s="170" t="s">
        <v>228</v>
      </c>
      <c r="B208" s="230" t="s">
        <v>482</v>
      </c>
      <c r="C208" s="228" t="s">
        <v>22</v>
      </c>
      <c r="D208" s="235">
        <v>1</v>
      </c>
      <c r="E208" s="227">
        <f t="shared" si="21"/>
        <v>1000</v>
      </c>
      <c r="F208" s="228" t="s">
        <v>82</v>
      </c>
      <c r="G208" s="228" t="s">
        <v>391</v>
      </c>
      <c r="H208" s="228" t="s">
        <v>392</v>
      </c>
      <c r="I208" s="228" t="s">
        <v>393</v>
      </c>
      <c r="J208" s="228" t="s">
        <v>394</v>
      </c>
      <c r="K208" s="227"/>
      <c r="L208" s="227"/>
      <c r="M208" s="227"/>
      <c r="N208" s="227"/>
      <c r="O208" s="227">
        <v>1000</v>
      </c>
      <c r="P208" s="210" t="b">
        <f t="shared" si="20"/>
        <v>1</v>
      </c>
      <c r="Q208" s="163"/>
      <c r="R208" s="163" t="s">
        <v>61</v>
      </c>
      <c r="S208" s="163" t="s">
        <v>412</v>
      </c>
      <c r="T208" s="164" t="s">
        <v>378</v>
      </c>
      <c r="U208" s="163" t="s">
        <v>483</v>
      </c>
    </row>
    <row r="209" spans="1:21" s="86" customFormat="1" ht="75.75" thickBot="1">
      <c r="A209" s="216" t="s">
        <v>231</v>
      </c>
      <c r="B209" s="230" t="s">
        <v>484</v>
      </c>
      <c r="C209" s="228" t="s">
        <v>22</v>
      </c>
      <c r="D209" s="226">
        <v>1</v>
      </c>
      <c r="E209" s="227">
        <f t="shared" si="21"/>
        <v>5650</v>
      </c>
      <c r="F209" s="228" t="s">
        <v>82</v>
      </c>
      <c r="G209" s="228" t="s">
        <v>386</v>
      </c>
      <c r="H209" s="228" t="s">
        <v>387</v>
      </c>
      <c r="I209" s="228" t="s">
        <v>381</v>
      </c>
      <c r="J209" s="228" t="s">
        <v>382</v>
      </c>
      <c r="K209" s="227"/>
      <c r="L209" s="227">
        <v>500</v>
      </c>
      <c r="M209" s="227"/>
      <c r="N209" s="227">
        <f>4500+1500-850</f>
        <v>5150</v>
      </c>
      <c r="O209" s="227"/>
      <c r="P209" s="210" t="b">
        <f t="shared" si="20"/>
        <v>1</v>
      </c>
      <c r="Q209" s="163"/>
      <c r="R209" s="163" t="s">
        <v>61</v>
      </c>
      <c r="S209" s="163" t="s">
        <v>377</v>
      </c>
      <c r="T209" s="164" t="s">
        <v>378</v>
      </c>
      <c r="U209" s="163" t="s">
        <v>483</v>
      </c>
    </row>
    <row r="210" spans="1:21" s="86" customFormat="1" ht="45.75" thickBot="1">
      <c r="A210" s="223"/>
      <c r="B210" s="230" t="s">
        <v>485</v>
      </c>
      <c r="C210" s="228" t="s">
        <v>22</v>
      </c>
      <c r="D210" s="231"/>
      <c r="E210" s="227">
        <f t="shared" si="21"/>
        <v>550</v>
      </c>
      <c r="F210" s="228" t="s">
        <v>82</v>
      </c>
      <c r="G210" s="228" t="s">
        <v>391</v>
      </c>
      <c r="H210" s="228" t="s">
        <v>392</v>
      </c>
      <c r="I210" s="228" t="s">
        <v>393</v>
      </c>
      <c r="J210" s="228" t="s">
        <v>394</v>
      </c>
      <c r="K210" s="227"/>
      <c r="L210" s="227"/>
      <c r="M210" s="227"/>
      <c r="N210" s="227"/>
      <c r="O210" s="227">
        <v>550</v>
      </c>
      <c r="P210" s="210" t="b">
        <f t="shared" si="20"/>
        <v>1</v>
      </c>
      <c r="Q210" s="163"/>
      <c r="R210" s="163" t="s">
        <v>61</v>
      </c>
      <c r="S210" s="163" t="s">
        <v>377</v>
      </c>
      <c r="T210" s="164" t="s">
        <v>378</v>
      </c>
      <c r="U210" s="163" t="s">
        <v>486</v>
      </c>
    </row>
    <row r="211" spans="1:21" s="86" customFormat="1" ht="59.25" customHeight="1" thickBot="1">
      <c r="A211" s="224"/>
      <c r="B211" s="230" t="s">
        <v>487</v>
      </c>
      <c r="C211" s="228" t="s">
        <v>22</v>
      </c>
      <c r="D211" s="234"/>
      <c r="E211" s="227">
        <f t="shared" si="21"/>
        <v>400</v>
      </c>
      <c r="F211" s="228"/>
      <c r="G211" s="228" t="s">
        <v>391</v>
      </c>
      <c r="H211" s="228" t="s">
        <v>392</v>
      </c>
      <c r="I211" s="228" t="s">
        <v>420</v>
      </c>
      <c r="J211" s="228" t="s">
        <v>397</v>
      </c>
      <c r="K211" s="227"/>
      <c r="L211" s="227"/>
      <c r="M211" s="227"/>
      <c r="N211" s="227"/>
      <c r="O211" s="227">
        <v>400</v>
      </c>
      <c r="P211" s="210" t="b">
        <f t="shared" si="20"/>
        <v>1</v>
      </c>
      <c r="Q211" s="163"/>
      <c r="R211" s="163" t="s">
        <v>61</v>
      </c>
      <c r="S211" s="163" t="s">
        <v>377</v>
      </c>
      <c r="T211" s="164" t="s">
        <v>378</v>
      </c>
      <c r="U211" s="163" t="s">
        <v>488</v>
      </c>
    </row>
    <row r="212" spans="1:21" s="86" customFormat="1" ht="43.5" customHeight="1" thickBot="1">
      <c r="A212" s="170" t="s">
        <v>235</v>
      </c>
      <c r="B212" s="230" t="s">
        <v>489</v>
      </c>
      <c r="C212" s="228" t="s">
        <v>22</v>
      </c>
      <c r="D212" s="228">
        <v>1</v>
      </c>
      <c r="E212" s="227">
        <f t="shared" si="21"/>
        <v>8700</v>
      </c>
      <c r="F212" s="228" t="s">
        <v>82</v>
      </c>
      <c r="G212" s="228" t="s">
        <v>375</v>
      </c>
      <c r="H212" s="228" t="s">
        <v>376</v>
      </c>
      <c r="I212" s="228" t="s">
        <v>381</v>
      </c>
      <c r="J212" s="228" t="s">
        <v>382</v>
      </c>
      <c r="K212" s="227"/>
      <c r="L212" s="227"/>
      <c r="M212" s="227"/>
      <c r="N212" s="227">
        <f>7200+1500</f>
        <v>8700</v>
      </c>
      <c r="O212" s="227"/>
      <c r="P212" s="210" t="b">
        <f t="shared" si="20"/>
        <v>1</v>
      </c>
      <c r="Q212" s="163"/>
      <c r="R212" s="163" t="s">
        <v>61</v>
      </c>
      <c r="S212" s="163">
        <v>1.2</v>
      </c>
      <c r="T212" s="164" t="s">
        <v>378</v>
      </c>
      <c r="U212" s="163" t="s">
        <v>490</v>
      </c>
    </row>
    <row r="213" spans="1:21" s="86" customFormat="1" ht="52.5" customHeight="1" thickBot="1">
      <c r="A213" s="216" t="s">
        <v>239</v>
      </c>
      <c r="B213" s="230" t="s">
        <v>491</v>
      </c>
      <c r="C213" s="228" t="s">
        <v>22</v>
      </c>
      <c r="D213" s="226">
        <v>1</v>
      </c>
      <c r="E213" s="227">
        <f t="shared" si="21"/>
        <v>4000</v>
      </c>
      <c r="F213" s="228" t="s">
        <v>82</v>
      </c>
      <c r="G213" s="228" t="s">
        <v>381</v>
      </c>
      <c r="H213" s="228" t="s">
        <v>382</v>
      </c>
      <c r="I213" s="228" t="s">
        <v>391</v>
      </c>
      <c r="J213" s="228" t="s">
        <v>392</v>
      </c>
      <c r="K213" s="227"/>
      <c r="L213" s="227"/>
      <c r="M213" s="227"/>
      <c r="N213" s="227">
        <v>400</v>
      </c>
      <c r="O213" s="227">
        <v>3600</v>
      </c>
      <c r="P213" s="210" t="b">
        <f t="shared" si="20"/>
        <v>1</v>
      </c>
      <c r="Q213" s="163"/>
      <c r="R213" s="163" t="s">
        <v>61</v>
      </c>
      <c r="S213" s="163" t="s">
        <v>412</v>
      </c>
      <c r="T213" s="164" t="s">
        <v>378</v>
      </c>
      <c r="U213" s="163" t="s">
        <v>492</v>
      </c>
    </row>
    <row r="214" spans="1:21" s="86" customFormat="1" ht="45.75" thickBot="1">
      <c r="A214" s="222"/>
      <c r="B214" s="230" t="s">
        <v>493</v>
      </c>
      <c r="C214" s="228" t="s">
        <v>22</v>
      </c>
      <c r="D214" s="234"/>
      <c r="E214" s="227">
        <f t="shared" si="21"/>
        <v>500</v>
      </c>
      <c r="F214" s="228" t="s">
        <v>82</v>
      </c>
      <c r="G214" s="228" t="s">
        <v>391</v>
      </c>
      <c r="H214" s="228" t="s">
        <v>392</v>
      </c>
      <c r="I214" s="228" t="s">
        <v>393</v>
      </c>
      <c r="J214" s="228" t="s">
        <v>394</v>
      </c>
      <c r="K214" s="227"/>
      <c r="L214" s="227"/>
      <c r="M214" s="227"/>
      <c r="N214" s="227"/>
      <c r="O214" s="227">
        <v>500</v>
      </c>
      <c r="P214" s="210" t="b">
        <f t="shared" si="20"/>
        <v>1</v>
      </c>
      <c r="Q214" s="163"/>
      <c r="R214" s="163" t="s">
        <v>61</v>
      </c>
      <c r="S214" s="163" t="s">
        <v>377</v>
      </c>
      <c r="T214" s="164" t="s">
        <v>378</v>
      </c>
      <c r="U214" s="163" t="s">
        <v>494</v>
      </c>
    </row>
    <row r="215" spans="1:21" s="86" customFormat="1" ht="120.75" thickBot="1">
      <c r="A215" s="216" t="s">
        <v>138</v>
      </c>
      <c r="B215" s="230" t="s">
        <v>495</v>
      </c>
      <c r="C215" s="228" t="s">
        <v>22</v>
      </c>
      <c r="D215" s="226">
        <v>1</v>
      </c>
      <c r="E215" s="227">
        <f t="shared" si="21"/>
        <v>1100</v>
      </c>
      <c r="F215" s="228" t="s">
        <v>82</v>
      </c>
      <c r="G215" s="228" t="s">
        <v>386</v>
      </c>
      <c r="H215" s="228" t="s">
        <v>387</v>
      </c>
      <c r="I215" s="228" t="s">
        <v>381</v>
      </c>
      <c r="J215" s="228" t="s">
        <v>382</v>
      </c>
      <c r="K215" s="227"/>
      <c r="L215" s="227">
        <v>100</v>
      </c>
      <c r="M215" s="227"/>
      <c r="N215" s="227">
        <v>1000</v>
      </c>
      <c r="O215" s="227"/>
      <c r="P215" s="210" t="b">
        <f t="shared" si="20"/>
        <v>1</v>
      </c>
      <c r="Q215" s="163"/>
      <c r="R215" s="163" t="s">
        <v>61</v>
      </c>
      <c r="S215" s="163" t="s">
        <v>377</v>
      </c>
      <c r="T215" s="164" t="s">
        <v>378</v>
      </c>
      <c r="U215" s="163" t="s">
        <v>496</v>
      </c>
    </row>
    <row r="216" spans="1:21" s="86" customFormat="1" ht="180.75" thickBot="1">
      <c r="A216" s="219"/>
      <c r="B216" s="230" t="s">
        <v>497</v>
      </c>
      <c r="C216" s="228" t="s">
        <v>22</v>
      </c>
      <c r="D216" s="231"/>
      <c r="E216" s="227">
        <f t="shared" si="21"/>
        <v>500</v>
      </c>
      <c r="F216" s="228" t="s">
        <v>82</v>
      </c>
      <c r="G216" s="228" t="s">
        <v>391</v>
      </c>
      <c r="H216" s="228" t="s">
        <v>392</v>
      </c>
      <c r="I216" s="228" t="s">
        <v>393</v>
      </c>
      <c r="J216" s="228" t="s">
        <v>394</v>
      </c>
      <c r="K216" s="227"/>
      <c r="L216" s="227"/>
      <c r="M216" s="227"/>
      <c r="N216" s="227"/>
      <c r="O216" s="227">
        <v>500</v>
      </c>
      <c r="P216" s="210" t="b">
        <f t="shared" si="20"/>
        <v>1</v>
      </c>
      <c r="Q216" s="163"/>
      <c r="R216" s="163" t="s">
        <v>61</v>
      </c>
      <c r="S216" s="163" t="s">
        <v>377</v>
      </c>
      <c r="T216" s="164" t="s">
        <v>378</v>
      </c>
      <c r="U216" s="163" t="s">
        <v>498</v>
      </c>
    </row>
    <row r="217" spans="1:21" s="86" customFormat="1" ht="195.75" thickBot="1">
      <c r="A217" s="224"/>
      <c r="B217" s="230" t="s">
        <v>499</v>
      </c>
      <c r="C217" s="228" t="s">
        <v>22</v>
      </c>
      <c r="D217" s="234"/>
      <c r="E217" s="227">
        <f t="shared" si="21"/>
        <v>3000</v>
      </c>
      <c r="F217" s="228" t="s">
        <v>82</v>
      </c>
      <c r="G217" s="228" t="s">
        <v>386</v>
      </c>
      <c r="H217" s="228" t="s">
        <v>387</v>
      </c>
      <c r="I217" s="228" t="s">
        <v>381</v>
      </c>
      <c r="J217" s="228" t="s">
        <v>382</v>
      </c>
      <c r="K217" s="227"/>
      <c r="L217" s="227">
        <v>500</v>
      </c>
      <c r="M217" s="227"/>
      <c r="N217" s="227">
        <v>2500</v>
      </c>
      <c r="O217" s="227"/>
      <c r="P217" s="210" t="b">
        <f t="shared" si="20"/>
        <v>1</v>
      </c>
      <c r="Q217" s="163"/>
      <c r="R217" s="163" t="s">
        <v>61</v>
      </c>
      <c r="S217" s="163" t="s">
        <v>377</v>
      </c>
      <c r="T217" s="164" t="s">
        <v>378</v>
      </c>
      <c r="U217" s="163" t="s">
        <v>500</v>
      </c>
    </row>
    <row r="218" spans="1:21" s="86" customFormat="1" ht="142.5" customHeight="1" thickBot="1">
      <c r="A218" s="170" t="s">
        <v>246</v>
      </c>
      <c r="B218" s="230" t="s">
        <v>501</v>
      </c>
      <c r="C218" s="228" t="s">
        <v>22</v>
      </c>
      <c r="D218" s="228">
        <v>1</v>
      </c>
      <c r="E218" s="227">
        <f t="shared" si="21"/>
        <v>300</v>
      </c>
      <c r="F218" s="228" t="s">
        <v>82</v>
      </c>
      <c r="G218" s="228" t="s">
        <v>391</v>
      </c>
      <c r="H218" s="228" t="s">
        <v>392</v>
      </c>
      <c r="I218" s="228" t="s">
        <v>393</v>
      </c>
      <c r="J218" s="228" t="s">
        <v>394</v>
      </c>
      <c r="K218" s="227"/>
      <c r="L218" s="227"/>
      <c r="M218" s="227"/>
      <c r="N218" s="227"/>
      <c r="O218" s="227">
        <v>300</v>
      </c>
      <c r="P218" s="210" t="b">
        <f t="shared" si="20"/>
        <v>1</v>
      </c>
      <c r="Q218" s="163"/>
      <c r="R218" s="163" t="s">
        <v>61</v>
      </c>
      <c r="S218" s="163" t="s">
        <v>377</v>
      </c>
      <c r="T218" s="164" t="s">
        <v>378</v>
      </c>
      <c r="U218" s="163" t="s">
        <v>502</v>
      </c>
    </row>
    <row r="219" spans="1:21" s="86" customFormat="1" ht="147" customHeight="1" thickBot="1">
      <c r="A219" s="216" t="s">
        <v>250</v>
      </c>
      <c r="B219" s="230" t="s">
        <v>503</v>
      </c>
      <c r="C219" s="228" t="s">
        <v>22</v>
      </c>
      <c r="D219" s="226">
        <v>1</v>
      </c>
      <c r="E219" s="227">
        <f t="shared" si="21"/>
        <v>1100</v>
      </c>
      <c r="F219" s="228" t="s">
        <v>82</v>
      </c>
      <c r="G219" s="228" t="s">
        <v>381</v>
      </c>
      <c r="H219" s="228" t="s">
        <v>382</v>
      </c>
      <c r="I219" s="228" t="s">
        <v>391</v>
      </c>
      <c r="J219" s="228" t="s">
        <v>392</v>
      </c>
      <c r="K219" s="227"/>
      <c r="L219" s="227"/>
      <c r="M219" s="227"/>
      <c r="N219" s="227">
        <v>100</v>
      </c>
      <c r="O219" s="227">
        <v>1000</v>
      </c>
      <c r="P219" s="210" t="b">
        <f t="shared" ref="P219:P245" si="22">E219=K219+L219+M219+N219+O219</f>
        <v>1</v>
      </c>
      <c r="Q219" s="163"/>
      <c r="R219" s="163" t="s">
        <v>61</v>
      </c>
      <c r="S219" s="163" t="s">
        <v>377</v>
      </c>
      <c r="T219" s="164" t="s">
        <v>378</v>
      </c>
      <c r="U219" s="163" t="s">
        <v>504</v>
      </c>
    </row>
    <row r="220" spans="1:21" s="86" customFormat="1" ht="195.75" thickBot="1">
      <c r="A220" s="223"/>
      <c r="B220" s="166" t="s">
        <v>505</v>
      </c>
      <c r="C220" s="228" t="s">
        <v>22</v>
      </c>
      <c r="D220" s="234"/>
      <c r="E220" s="227">
        <f t="shared" si="21"/>
        <v>5500</v>
      </c>
      <c r="F220" s="228" t="s">
        <v>82</v>
      </c>
      <c r="G220" s="228" t="s">
        <v>375</v>
      </c>
      <c r="H220" s="228" t="s">
        <v>376</v>
      </c>
      <c r="I220" s="228" t="s">
        <v>381</v>
      </c>
      <c r="J220" s="228" t="s">
        <v>382</v>
      </c>
      <c r="K220" s="227"/>
      <c r="L220" s="227"/>
      <c r="M220" s="227">
        <v>500</v>
      </c>
      <c r="N220" s="227">
        <v>5000</v>
      </c>
      <c r="O220" s="227"/>
      <c r="P220" s="210" t="b">
        <f t="shared" si="22"/>
        <v>1</v>
      </c>
      <c r="Q220" s="163"/>
      <c r="R220" s="163" t="s">
        <v>61</v>
      </c>
      <c r="S220" s="163" t="s">
        <v>377</v>
      </c>
      <c r="T220" s="164" t="s">
        <v>378</v>
      </c>
      <c r="U220" s="163" t="s">
        <v>506</v>
      </c>
    </row>
    <row r="221" spans="1:21" s="86" customFormat="1" ht="278.25" customHeight="1" thickBot="1">
      <c r="A221" s="236" t="s">
        <v>254</v>
      </c>
      <c r="B221" s="166" t="s">
        <v>507</v>
      </c>
      <c r="C221" s="228" t="s">
        <v>22</v>
      </c>
      <c r="D221" s="235"/>
      <c r="E221" s="227">
        <f t="shared" si="21"/>
        <v>11000</v>
      </c>
      <c r="F221" s="228" t="s">
        <v>82</v>
      </c>
      <c r="G221" s="228" t="s">
        <v>381</v>
      </c>
      <c r="H221" s="228" t="s">
        <v>382</v>
      </c>
      <c r="I221" s="228" t="s">
        <v>391</v>
      </c>
      <c r="J221" s="228" t="s">
        <v>392</v>
      </c>
      <c r="K221" s="227"/>
      <c r="L221" s="227"/>
      <c r="M221" s="227"/>
      <c r="N221" s="227">
        <v>1000</v>
      </c>
      <c r="O221" s="227">
        <v>10000</v>
      </c>
      <c r="P221" s="210" t="b">
        <f t="shared" si="22"/>
        <v>1</v>
      </c>
      <c r="Q221" s="163"/>
      <c r="R221" s="163" t="s">
        <v>61</v>
      </c>
      <c r="S221" s="163" t="s">
        <v>412</v>
      </c>
      <c r="T221" s="164" t="s">
        <v>378</v>
      </c>
      <c r="U221" s="163" t="s">
        <v>508</v>
      </c>
    </row>
    <row r="222" spans="1:21" s="86" customFormat="1" ht="19.5" thickBot="1">
      <c r="A222" s="237" t="s">
        <v>33</v>
      </c>
      <c r="B222" s="149" t="s">
        <v>24</v>
      </c>
      <c r="C222" s="159" t="s">
        <v>22</v>
      </c>
      <c r="D222" s="160"/>
      <c r="E222" s="160">
        <f t="shared" si="21"/>
        <v>25223.190000000002</v>
      </c>
      <c r="F222" s="159"/>
      <c r="G222" s="159"/>
      <c r="H222" s="159"/>
      <c r="I222" s="159"/>
      <c r="J222" s="159"/>
      <c r="K222" s="160">
        <f>SUM(K223:K229)</f>
        <v>2923.19</v>
      </c>
      <c r="L222" s="160">
        <f>SUM(L223:L229)</f>
        <v>3600</v>
      </c>
      <c r="M222" s="160">
        <f>SUM(M223:M229)</f>
        <v>4050</v>
      </c>
      <c r="N222" s="160">
        <f>SUM(N223:N229)</f>
        <v>5650</v>
      </c>
      <c r="O222" s="160">
        <f>SUM(O223:O229)</f>
        <v>9000</v>
      </c>
      <c r="P222" s="210" t="b">
        <f t="shared" si="22"/>
        <v>1</v>
      </c>
      <c r="Q222" s="163"/>
      <c r="R222" s="163"/>
      <c r="S222" s="163"/>
      <c r="T222" s="164"/>
      <c r="U222" s="163"/>
    </row>
    <row r="223" spans="1:21" ht="45.75" thickBot="1">
      <c r="A223" s="170" t="s">
        <v>326</v>
      </c>
      <c r="B223" s="166" t="s">
        <v>509</v>
      </c>
      <c r="C223" s="228" t="s">
        <v>22</v>
      </c>
      <c r="D223" s="226">
        <v>1</v>
      </c>
      <c r="E223" s="160">
        <f t="shared" ref="E223:E233" si="23">K223+L223+M223+N223+O223</f>
        <v>3600</v>
      </c>
      <c r="F223" s="228" t="s">
        <v>82</v>
      </c>
      <c r="G223" s="228" t="s">
        <v>373</v>
      </c>
      <c r="H223" s="228" t="s">
        <v>374</v>
      </c>
      <c r="I223" s="228" t="s">
        <v>386</v>
      </c>
      <c r="J223" s="228" t="s">
        <v>387</v>
      </c>
      <c r="K223" s="227"/>
      <c r="L223" s="227">
        <v>3600</v>
      </c>
      <c r="M223" s="227"/>
      <c r="N223" s="227"/>
      <c r="O223" s="227"/>
      <c r="P223" s="210" t="b">
        <f t="shared" si="22"/>
        <v>1</v>
      </c>
      <c r="Q223" s="163"/>
      <c r="R223" s="163" t="s">
        <v>61</v>
      </c>
      <c r="S223" s="163" t="s">
        <v>412</v>
      </c>
      <c r="T223" s="164" t="s">
        <v>378</v>
      </c>
      <c r="U223" s="163" t="s">
        <v>510</v>
      </c>
    </row>
    <row r="224" spans="1:21" s="86" customFormat="1" ht="86.25" customHeight="1" thickBot="1">
      <c r="A224" s="170" t="s">
        <v>315</v>
      </c>
      <c r="B224" s="166" t="s">
        <v>511</v>
      </c>
      <c r="C224" s="228" t="s">
        <v>22</v>
      </c>
      <c r="D224" s="231"/>
      <c r="E224" s="160">
        <f t="shared" si="23"/>
        <v>3600</v>
      </c>
      <c r="F224" s="228" t="s">
        <v>82</v>
      </c>
      <c r="G224" s="228" t="s">
        <v>373</v>
      </c>
      <c r="H224" s="228" t="s">
        <v>374</v>
      </c>
      <c r="I224" s="228" t="s">
        <v>375</v>
      </c>
      <c r="J224" s="228" t="s">
        <v>376</v>
      </c>
      <c r="K224" s="227"/>
      <c r="L224" s="227"/>
      <c r="M224" s="227">
        <v>3600</v>
      </c>
      <c r="N224" s="227"/>
      <c r="O224" s="227"/>
      <c r="P224" s="210" t="b">
        <f t="shared" si="22"/>
        <v>1</v>
      </c>
      <c r="Q224" s="163"/>
      <c r="R224" s="163" t="s">
        <v>61</v>
      </c>
      <c r="S224" s="163" t="s">
        <v>412</v>
      </c>
      <c r="T224" s="164" t="s">
        <v>378</v>
      </c>
      <c r="U224" s="163" t="s">
        <v>512</v>
      </c>
    </row>
    <row r="225" spans="1:21" s="86" customFormat="1" ht="294.75" customHeight="1" thickBot="1">
      <c r="A225" s="170" t="s">
        <v>144</v>
      </c>
      <c r="B225" s="166" t="s">
        <v>513</v>
      </c>
      <c r="C225" s="228" t="s">
        <v>22</v>
      </c>
      <c r="D225" s="234"/>
      <c r="E225" s="160">
        <f t="shared" si="23"/>
        <v>1100</v>
      </c>
      <c r="F225" s="228" t="s">
        <v>82</v>
      </c>
      <c r="G225" s="228" t="s">
        <v>375</v>
      </c>
      <c r="H225" s="228" t="s">
        <v>376</v>
      </c>
      <c r="I225" s="228" t="s">
        <v>381</v>
      </c>
      <c r="J225" s="228" t="s">
        <v>382</v>
      </c>
      <c r="K225" s="227"/>
      <c r="L225" s="227"/>
      <c r="M225" s="227">
        <v>200</v>
      </c>
      <c r="N225" s="227">
        <v>900</v>
      </c>
      <c r="O225" s="227"/>
      <c r="P225" s="210" t="b">
        <f t="shared" si="22"/>
        <v>1</v>
      </c>
      <c r="Q225" s="163"/>
      <c r="R225" s="163"/>
      <c r="S225" s="163"/>
      <c r="T225" s="164" t="s">
        <v>378</v>
      </c>
      <c r="U225" s="163" t="s">
        <v>514</v>
      </c>
    </row>
    <row r="226" spans="1:21" ht="62.25" customHeight="1" thickBot="1">
      <c r="A226" s="216" t="s">
        <v>322</v>
      </c>
      <c r="B226" s="230" t="s">
        <v>515</v>
      </c>
      <c r="C226" s="228" t="s">
        <v>22</v>
      </c>
      <c r="D226" s="226">
        <v>1</v>
      </c>
      <c r="E226" s="160">
        <f t="shared" si="23"/>
        <v>2923.19</v>
      </c>
      <c r="F226" s="228" t="s">
        <v>56</v>
      </c>
      <c r="G226" s="228" t="s">
        <v>409</v>
      </c>
      <c r="H226" s="228" t="s">
        <v>410</v>
      </c>
      <c r="I226" s="228" t="s">
        <v>373</v>
      </c>
      <c r="J226" s="228" t="s">
        <v>374</v>
      </c>
      <c r="K226" s="227">
        <v>2923.19</v>
      </c>
      <c r="L226" s="227"/>
      <c r="M226" s="227"/>
      <c r="N226" s="227"/>
      <c r="O226" s="227"/>
      <c r="P226" s="210" t="b">
        <f t="shared" si="22"/>
        <v>1</v>
      </c>
      <c r="Q226" s="163"/>
      <c r="R226" s="163" t="s">
        <v>61</v>
      </c>
      <c r="S226" s="163" t="s">
        <v>412</v>
      </c>
      <c r="T226" s="164" t="s">
        <v>378</v>
      </c>
      <c r="U226" s="163" t="s">
        <v>516</v>
      </c>
    </row>
    <row r="227" spans="1:21" ht="135.75" customHeight="1" thickBot="1">
      <c r="A227" s="222"/>
      <c r="B227" s="166" t="s">
        <v>517</v>
      </c>
      <c r="C227" s="228" t="s">
        <v>22</v>
      </c>
      <c r="D227" s="234"/>
      <c r="E227" s="160">
        <f t="shared" si="23"/>
        <v>4250</v>
      </c>
      <c r="F227" s="228" t="s">
        <v>82</v>
      </c>
      <c r="G227" s="228" t="s">
        <v>386</v>
      </c>
      <c r="H227" s="228" t="s">
        <v>387</v>
      </c>
      <c r="I227" s="228" t="s">
        <v>375</v>
      </c>
      <c r="J227" s="228" t="s">
        <v>376</v>
      </c>
      <c r="K227" s="227"/>
      <c r="L227" s="227"/>
      <c r="M227" s="227">
        <v>250</v>
      </c>
      <c r="N227" s="227">
        <v>4000</v>
      </c>
      <c r="O227" s="238"/>
      <c r="P227" s="210" t="b">
        <f t="shared" si="22"/>
        <v>1</v>
      </c>
      <c r="Q227" s="163"/>
      <c r="R227" s="163" t="s">
        <v>61</v>
      </c>
      <c r="S227" s="163" t="s">
        <v>412</v>
      </c>
      <c r="T227" s="164" t="s">
        <v>378</v>
      </c>
      <c r="U227" s="163" t="s">
        <v>518</v>
      </c>
    </row>
    <row r="228" spans="1:21" ht="61.5" customHeight="1" thickBot="1">
      <c r="A228" s="170" t="s">
        <v>326</v>
      </c>
      <c r="B228" s="166" t="s">
        <v>519</v>
      </c>
      <c r="C228" s="228" t="s">
        <v>22</v>
      </c>
      <c r="D228" s="228">
        <v>1</v>
      </c>
      <c r="E228" s="160">
        <f t="shared" si="23"/>
        <v>5500</v>
      </c>
      <c r="F228" s="228"/>
      <c r="G228" s="228" t="s">
        <v>381</v>
      </c>
      <c r="H228" s="228" t="s">
        <v>382</v>
      </c>
      <c r="I228" s="228" t="s">
        <v>391</v>
      </c>
      <c r="J228" s="228" t="s">
        <v>392</v>
      </c>
      <c r="K228" s="227"/>
      <c r="L228" s="227"/>
      <c r="M228" s="227"/>
      <c r="N228" s="227">
        <v>500</v>
      </c>
      <c r="O228" s="227">
        <v>5000</v>
      </c>
      <c r="P228" s="210" t="b">
        <f t="shared" si="22"/>
        <v>1</v>
      </c>
      <c r="Q228" s="163"/>
      <c r="R228" s="163"/>
      <c r="S228" s="163"/>
      <c r="T228" s="164" t="s">
        <v>378</v>
      </c>
      <c r="U228" s="163" t="s">
        <v>520</v>
      </c>
    </row>
    <row r="229" spans="1:21" ht="147" customHeight="1" thickBot="1">
      <c r="A229" s="170" t="s">
        <v>330</v>
      </c>
      <c r="B229" s="166" t="s">
        <v>521</v>
      </c>
      <c r="C229" s="228" t="s">
        <v>22</v>
      </c>
      <c r="D229" s="228">
        <v>1</v>
      </c>
      <c r="E229" s="160">
        <f>K229+L229+M229+N229+O229</f>
        <v>4250</v>
      </c>
      <c r="F229" s="228" t="s">
        <v>82</v>
      </c>
      <c r="G229" s="228" t="s">
        <v>381</v>
      </c>
      <c r="H229" s="228" t="s">
        <v>382</v>
      </c>
      <c r="I229" s="228" t="s">
        <v>391</v>
      </c>
      <c r="J229" s="228" t="s">
        <v>392</v>
      </c>
      <c r="K229" s="227"/>
      <c r="L229" s="227"/>
      <c r="M229" s="227"/>
      <c r="N229" s="227">
        <v>250</v>
      </c>
      <c r="O229" s="227">
        <v>4000</v>
      </c>
      <c r="P229" s="210" t="b">
        <f t="shared" si="22"/>
        <v>1</v>
      </c>
      <c r="Q229" s="163"/>
      <c r="R229" s="163" t="s">
        <v>61</v>
      </c>
      <c r="S229" s="163" t="s">
        <v>412</v>
      </c>
      <c r="T229" s="164" t="s">
        <v>378</v>
      </c>
      <c r="U229" s="163" t="s">
        <v>522</v>
      </c>
    </row>
    <row r="230" spans="1:21" s="240" customFormat="1" ht="70.5" customHeight="1" thickBot="1">
      <c r="A230" s="157" t="s">
        <v>34</v>
      </c>
      <c r="B230" s="159" t="s">
        <v>35</v>
      </c>
      <c r="C230" s="239" t="s">
        <v>22</v>
      </c>
      <c r="D230" s="239"/>
      <c r="E230" s="160">
        <f t="shared" si="23"/>
        <v>0</v>
      </c>
      <c r="F230" s="159"/>
      <c r="G230" s="159"/>
      <c r="H230" s="159"/>
      <c r="I230" s="159"/>
      <c r="J230" s="159"/>
      <c r="K230" s="215"/>
      <c r="L230" s="215"/>
      <c r="M230" s="215"/>
      <c r="N230" s="215"/>
      <c r="O230" s="215"/>
      <c r="P230" s="210" t="b">
        <f t="shared" si="22"/>
        <v>1</v>
      </c>
      <c r="Q230" s="163"/>
      <c r="R230" s="163"/>
      <c r="S230" s="163"/>
      <c r="T230" s="163"/>
      <c r="U230" s="163"/>
    </row>
    <row r="231" spans="1:21" s="241" customFormat="1" ht="19.5" thickBot="1">
      <c r="A231" s="157" t="s">
        <v>36</v>
      </c>
      <c r="B231" s="158" t="s">
        <v>29</v>
      </c>
      <c r="C231" s="159" t="s">
        <v>27</v>
      </c>
      <c r="D231" s="159">
        <v>1.35</v>
      </c>
      <c r="E231" s="160">
        <f t="shared" si="23"/>
        <v>13391</v>
      </c>
      <c r="F231" s="159"/>
      <c r="G231" s="159"/>
      <c r="H231" s="159"/>
      <c r="I231" s="159"/>
      <c r="J231" s="159"/>
      <c r="K231" s="160">
        <f>K232</f>
        <v>0</v>
      </c>
      <c r="L231" s="160">
        <f t="shared" ref="L231:O231" si="24">L232</f>
        <v>13391</v>
      </c>
      <c r="M231" s="160">
        <f t="shared" si="24"/>
        <v>0</v>
      </c>
      <c r="N231" s="160">
        <f t="shared" si="24"/>
        <v>0</v>
      </c>
      <c r="O231" s="160">
        <f t="shared" si="24"/>
        <v>0</v>
      </c>
      <c r="P231" s="210" t="b">
        <f t="shared" si="22"/>
        <v>1</v>
      </c>
      <c r="Q231" s="163"/>
      <c r="R231" s="163"/>
      <c r="S231" s="163"/>
      <c r="T231" s="164"/>
      <c r="U231" s="163"/>
    </row>
    <row r="232" spans="1:21" s="86" customFormat="1" ht="46.5" customHeight="1" thickBot="1">
      <c r="A232" s="170" t="s">
        <v>149</v>
      </c>
      <c r="B232" s="230" t="s">
        <v>523</v>
      </c>
      <c r="C232" s="228" t="s">
        <v>27</v>
      </c>
      <c r="D232" s="228">
        <v>1.35</v>
      </c>
      <c r="E232" s="160">
        <f t="shared" si="23"/>
        <v>13391</v>
      </c>
      <c r="F232" s="228" t="s">
        <v>82</v>
      </c>
      <c r="G232" s="228" t="s">
        <v>373</v>
      </c>
      <c r="H232" s="228" t="s">
        <v>374</v>
      </c>
      <c r="I232" s="228" t="s">
        <v>386</v>
      </c>
      <c r="J232" s="228" t="s">
        <v>387</v>
      </c>
      <c r="K232" s="227"/>
      <c r="L232" s="227">
        <v>13391</v>
      </c>
      <c r="M232" s="227"/>
      <c r="N232" s="227"/>
      <c r="O232" s="227"/>
      <c r="P232" s="210" t="b">
        <f t="shared" si="22"/>
        <v>1</v>
      </c>
      <c r="Q232" s="163"/>
      <c r="R232" s="163" t="s">
        <v>61</v>
      </c>
      <c r="S232" s="163" t="s">
        <v>524</v>
      </c>
      <c r="T232" s="164" t="s">
        <v>525</v>
      </c>
      <c r="U232" s="163" t="s">
        <v>526</v>
      </c>
    </row>
    <row r="233" spans="1:21" s="246" customFormat="1" ht="33" customHeight="1" thickBot="1">
      <c r="A233" s="183" t="s">
        <v>37</v>
      </c>
      <c r="B233" s="242" t="s">
        <v>38</v>
      </c>
      <c r="C233" s="243" t="s">
        <v>22</v>
      </c>
      <c r="D233" s="243">
        <v>0</v>
      </c>
      <c r="E233" s="209">
        <f t="shared" si="23"/>
        <v>0</v>
      </c>
      <c r="F233" s="243"/>
      <c r="G233" s="243"/>
      <c r="H233" s="243"/>
      <c r="I233" s="243"/>
      <c r="J233" s="243"/>
      <c r="K233" s="244">
        <v>0</v>
      </c>
      <c r="L233" s="244">
        <v>0</v>
      </c>
      <c r="M233" s="119">
        <v>0</v>
      </c>
      <c r="N233" s="245">
        <v>0</v>
      </c>
      <c r="O233" s="245">
        <v>0</v>
      </c>
      <c r="P233" s="210" t="b">
        <f t="shared" si="22"/>
        <v>1</v>
      </c>
      <c r="Q233" s="211"/>
      <c r="R233" s="211"/>
      <c r="S233" s="211"/>
      <c r="T233" s="212"/>
      <c r="U233" s="211"/>
    </row>
    <row r="234" spans="1:21" s="246" customFormat="1" ht="45" customHeight="1" thickBot="1">
      <c r="A234" s="183" t="s">
        <v>39</v>
      </c>
      <c r="B234" s="242" t="s">
        <v>40</v>
      </c>
      <c r="C234" s="243" t="s">
        <v>22</v>
      </c>
      <c r="D234" s="245">
        <f t="shared" ref="D234:O234" si="25">D235+D237</f>
        <v>162</v>
      </c>
      <c r="E234" s="245">
        <f t="shared" si="25"/>
        <v>92400.92</v>
      </c>
      <c r="F234" s="245">
        <f t="shared" si="25"/>
        <v>0</v>
      </c>
      <c r="G234" s="245">
        <f t="shared" si="25"/>
        <v>0</v>
      </c>
      <c r="H234" s="245">
        <f t="shared" si="25"/>
        <v>0</v>
      </c>
      <c r="I234" s="245">
        <f t="shared" si="25"/>
        <v>0</v>
      </c>
      <c r="J234" s="245">
        <f t="shared" si="25"/>
        <v>0</v>
      </c>
      <c r="K234" s="245">
        <f t="shared" si="25"/>
        <v>22446.92</v>
      </c>
      <c r="L234" s="245">
        <f t="shared" si="25"/>
        <v>28100</v>
      </c>
      <c r="M234" s="245">
        <f t="shared" si="25"/>
        <v>10573</v>
      </c>
      <c r="N234" s="245">
        <f t="shared" si="25"/>
        <v>16337</v>
      </c>
      <c r="O234" s="245">
        <f t="shared" si="25"/>
        <v>14944</v>
      </c>
      <c r="P234" s="210" t="b">
        <f t="shared" si="22"/>
        <v>1</v>
      </c>
      <c r="Q234" s="211"/>
      <c r="R234" s="211"/>
      <c r="S234" s="211"/>
      <c r="T234" s="212"/>
      <c r="U234" s="211"/>
    </row>
    <row r="235" spans="1:21" s="246" customFormat="1" ht="52.5" customHeight="1" thickBot="1">
      <c r="A235" s="182" t="s">
        <v>41</v>
      </c>
      <c r="B235" s="247" t="s">
        <v>42</v>
      </c>
      <c r="C235" s="248" t="s">
        <v>22</v>
      </c>
      <c r="D235" s="249">
        <f>45+1</f>
        <v>46</v>
      </c>
      <c r="E235" s="249">
        <f t="shared" ref="E235:E243" si="26">K235+L235+M235+N235+O235</f>
        <v>45877.36</v>
      </c>
      <c r="F235" s="249">
        <v>0</v>
      </c>
      <c r="G235" s="249">
        <v>0</v>
      </c>
      <c r="H235" s="249">
        <v>0</v>
      </c>
      <c r="I235" s="249">
        <v>0</v>
      </c>
      <c r="J235" s="249">
        <v>0</v>
      </c>
      <c r="K235" s="249">
        <f>1742+6110.64+137.24+81.53+103.36+170+125.59+170+320</f>
        <v>8960.36</v>
      </c>
      <c r="L235" s="249">
        <v>10000</v>
      </c>
      <c r="M235" s="249">
        <f>9048-75</f>
        <v>8973</v>
      </c>
      <c r="N235" s="249">
        <v>11000</v>
      </c>
      <c r="O235" s="249">
        <v>6944</v>
      </c>
      <c r="P235" s="210" t="b">
        <f t="shared" si="22"/>
        <v>1</v>
      </c>
      <c r="Q235" s="163"/>
      <c r="R235" s="163" t="s">
        <v>61</v>
      </c>
      <c r="S235" s="163" t="s">
        <v>524</v>
      </c>
      <c r="T235" s="164" t="s">
        <v>525</v>
      </c>
      <c r="U235" s="163"/>
    </row>
    <row r="236" spans="1:21" s="246" customFormat="1" ht="52.5" customHeight="1" thickBot="1">
      <c r="A236" s="182" t="s">
        <v>527</v>
      </c>
      <c r="B236" s="250" t="str">
        <f>'[1]Табл 2'!$C$12</f>
        <v>Технічне переоснащення ПЖ "Драбове" із заміною обладнання 10/0,4 кВ ПЖ "Драбове" ст. Драбове-Барятинська, Черкаська обл, Драбівський р-н, с. Драбове-Барятинське, вул. Жовтнева, 2-а</v>
      </c>
      <c r="C236" s="248" t="s">
        <v>22</v>
      </c>
      <c r="D236" s="249">
        <v>1</v>
      </c>
      <c r="E236" s="249">
        <v>1742</v>
      </c>
      <c r="F236" s="249" t="s">
        <v>56</v>
      </c>
      <c r="G236" s="249" t="s">
        <v>90</v>
      </c>
      <c r="H236" s="249" t="s">
        <v>78</v>
      </c>
      <c r="I236" s="249" t="s">
        <v>528</v>
      </c>
      <c r="J236" s="249" t="s">
        <v>98</v>
      </c>
      <c r="K236" s="249">
        <f>'[1]Табл 2'!$M$12</f>
        <v>1742</v>
      </c>
      <c r="L236" s="249"/>
      <c r="M236" s="249"/>
      <c r="N236" s="249"/>
      <c r="O236" s="249"/>
      <c r="P236" s="210" t="b">
        <f t="shared" si="22"/>
        <v>1</v>
      </c>
      <c r="Q236" s="163"/>
      <c r="R236" s="163"/>
      <c r="S236" s="163"/>
      <c r="T236" s="164"/>
      <c r="U236" s="163"/>
    </row>
    <row r="237" spans="1:21" s="251" customFormat="1" ht="45.75" thickBot="1">
      <c r="A237" s="182" t="s">
        <v>43</v>
      </c>
      <c r="B237" s="230" t="s">
        <v>44</v>
      </c>
      <c r="C237" s="248" t="s">
        <v>27</v>
      </c>
      <c r="D237" s="227">
        <v>116</v>
      </c>
      <c r="E237" s="249">
        <f t="shared" si="26"/>
        <v>46523.56</v>
      </c>
      <c r="F237" s="227">
        <v>0</v>
      </c>
      <c r="G237" s="227">
        <v>0</v>
      </c>
      <c r="H237" s="227">
        <v>0</v>
      </c>
      <c r="I237" s="227">
        <v>0</v>
      </c>
      <c r="J237" s="227">
        <v>0</v>
      </c>
      <c r="K237" s="227">
        <f>5479.56+7073.4+120+473.6+120+220</f>
        <v>13486.56</v>
      </c>
      <c r="L237" s="227">
        <f>7200+10900</f>
        <v>18100</v>
      </c>
      <c r="M237" s="227">
        <v>1600</v>
      </c>
      <c r="N237" s="227">
        <v>5337</v>
      </c>
      <c r="O237" s="227">
        <v>8000</v>
      </c>
      <c r="P237" s="210" t="b">
        <f t="shared" si="22"/>
        <v>1</v>
      </c>
      <c r="Q237" s="163"/>
      <c r="R237" s="163" t="s">
        <v>61</v>
      </c>
      <c r="S237" s="163" t="s">
        <v>524</v>
      </c>
      <c r="T237" s="164" t="s">
        <v>525</v>
      </c>
      <c r="U237" s="163"/>
    </row>
    <row r="238" spans="1:21" s="254" customFormat="1" ht="78" customHeight="1" thickBot="1">
      <c r="A238" s="182" t="s">
        <v>529</v>
      </c>
      <c r="B238" s="252" t="s">
        <v>530</v>
      </c>
      <c r="C238" s="228" t="s">
        <v>531</v>
      </c>
      <c r="D238" s="228">
        <v>3</v>
      </c>
      <c r="E238" s="227">
        <v>7074</v>
      </c>
      <c r="F238" s="228" t="s">
        <v>56</v>
      </c>
      <c r="G238" s="228" t="s">
        <v>532</v>
      </c>
      <c r="H238" s="228" t="s">
        <v>533</v>
      </c>
      <c r="I238" s="228" t="s">
        <v>373</v>
      </c>
      <c r="J238" s="228" t="s">
        <v>374</v>
      </c>
      <c r="K238" s="227">
        <v>7074</v>
      </c>
      <c r="L238" s="227"/>
      <c r="M238" s="227"/>
      <c r="N238" s="227"/>
      <c r="O238" s="227"/>
      <c r="P238" s="210" t="b">
        <f t="shared" si="22"/>
        <v>1</v>
      </c>
      <c r="Q238" s="253"/>
      <c r="R238" s="163" t="s">
        <v>61</v>
      </c>
      <c r="S238" s="163" t="s">
        <v>534</v>
      </c>
      <c r="T238" s="163" t="s">
        <v>525</v>
      </c>
      <c r="U238" s="163" t="s">
        <v>535</v>
      </c>
    </row>
    <row r="239" spans="1:21" s="240" customFormat="1" ht="48" thickBot="1">
      <c r="A239" s="112">
        <v>5</v>
      </c>
      <c r="B239" s="115" t="s">
        <v>45</v>
      </c>
      <c r="C239" s="114" t="s">
        <v>536</v>
      </c>
      <c r="D239" s="114">
        <v>6</v>
      </c>
      <c r="E239" s="209">
        <f t="shared" si="26"/>
        <v>14187</v>
      </c>
      <c r="F239" s="114"/>
      <c r="G239" s="114"/>
      <c r="H239" s="114"/>
      <c r="I239" s="114"/>
      <c r="J239" s="114"/>
      <c r="K239" s="255">
        <v>6187</v>
      </c>
      <c r="L239" s="209">
        <v>2000</v>
      </c>
      <c r="M239" s="209">
        <v>2000</v>
      </c>
      <c r="N239" s="209">
        <v>2000</v>
      </c>
      <c r="O239" s="209">
        <v>2000</v>
      </c>
      <c r="P239" s="210" t="b">
        <f t="shared" si="22"/>
        <v>1</v>
      </c>
      <c r="Q239" s="211"/>
      <c r="R239" s="211" t="s">
        <v>61</v>
      </c>
      <c r="S239" s="211"/>
      <c r="T239" s="212"/>
      <c r="U239" s="211"/>
    </row>
    <row r="240" spans="1:21" s="257" customFormat="1" ht="79.5" thickBot="1">
      <c r="A240" s="112">
        <v>6</v>
      </c>
      <c r="B240" s="115" t="s">
        <v>46</v>
      </c>
      <c r="C240" s="256"/>
      <c r="D240" s="256">
        <v>0</v>
      </c>
      <c r="E240" s="209">
        <f t="shared" si="26"/>
        <v>32900</v>
      </c>
      <c r="F240" s="114"/>
      <c r="G240" s="114"/>
      <c r="H240" s="114"/>
      <c r="I240" s="114"/>
      <c r="J240" s="114"/>
      <c r="K240" s="209">
        <v>6900</v>
      </c>
      <c r="L240" s="209">
        <v>7000</v>
      </c>
      <c r="M240" s="209">
        <v>8000</v>
      </c>
      <c r="N240" s="209">
        <v>9000</v>
      </c>
      <c r="O240" s="209">
        <v>2000</v>
      </c>
      <c r="P240" s="210" t="b">
        <f t="shared" si="22"/>
        <v>1</v>
      </c>
      <c r="Q240" s="211"/>
      <c r="R240" s="211" t="s">
        <v>365</v>
      </c>
      <c r="S240" s="211"/>
      <c r="T240" s="212"/>
      <c r="U240" s="211"/>
    </row>
    <row r="241" spans="1:21" s="257" customFormat="1" ht="40.5" customHeight="1" thickBot="1">
      <c r="A241" s="112">
        <v>7</v>
      </c>
      <c r="B241" s="115" t="s">
        <v>47</v>
      </c>
      <c r="C241" s="256" t="s">
        <v>356</v>
      </c>
      <c r="D241" s="256">
        <v>234</v>
      </c>
      <c r="E241" s="209">
        <f t="shared" si="26"/>
        <v>1980</v>
      </c>
      <c r="F241" s="114"/>
      <c r="G241" s="114"/>
      <c r="H241" s="114"/>
      <c r="I241" s="114"/>
      <c r="J241" s="114"/>
      <c r="K241" s="209">
        <f>440*0.9</f>
        <v>396</v>
      </c>
      <c r="L241" s="209">
        <f t="shared" ref="L241:O241" si="27">440*0.9</f>
        <v>396</v>
      </c>
      <c r="M241" s="209">
        <f t="shared" si="27"/>
        <v>396</v>
      </c>
      <c r="N241" s="209">
        <f t="shared" si="27"/>
        <v>396</v>
      </c>
      <c r="O241" s="209">
        <f t="shared" si="27"/>
        <v>396</v>
      </c>
      <c r="P241" s="210" t="b">
        <f t="shared" si="22"/>
        <v>1</v>
      </c>
      <c r="Q241" s="211"/>
      <c r="R241" s="258" t="s">
        <v>153</v>
      </c>
      <c r="S241" s="211"/>
      <c r="T241" s="212"/>
      <c r="U241" s="211"/>
    </row>
    <row r="242" spans="1:21" s="257" customFormat="1" ht="45.75" customHeight="1" thickBot="1">
      <c r="A242" s="112">
        <v>8</v>
      </c>
      <c r="B242" s="115" t="s">
        <v>48</v>
      </c>
      <c r="C242" s="256"/>
      <c r="D242" s="256">
        <v>0</v>
      </c>
      <c r="E242" s="209">
        <f t="shared" si="26"/>
        <v>0</v>
      </c>
      <c r="F242" s="114"/>
      <c r="G242" s="114"/>
      <c r="H242" s="114"/>
      <c r="I242" s="114"/>
      <c r="J242" s="114"/>
      <c r="K242" s="209">
        <v>0</v>
      </c>
      <c r="L242" s="209">
        <v>0</v>
      </c>
      <c r="M242" s="209">
        <v>0</v>
      </c>
      <c r="N242" s="209">
        <v>0</v>
      </c>
      <c r="O242" s="209">
        <v>0</v>
      </c>
      <c r="P242" s="210" t="b">
        <f t="shared" si="22"/>
        <v>1</v>
      </c>
      <c r="Q242" s="211"/>
      <c r="R242" s="211"/>
      <c r="S242" s="211"/>
      <c r="T242" s="212"/>
      <c r="U242" s="211"/>
    </row>
    <row r="243" spans="1:21" s="257" customFormat="1" ht="79.5" thickBot="1">
      <c r="A243" s="112">
        <v>9</v>
      </c>
      <c r="B243" s="115" t="s">
        <v>49</v>
      </c>
      <c r="C243" s="256" t="s">
        <v>537</v>
      </c>
      <c r="D243" s="256">
        <v>7</v>
      </c>
      <c r="E243" s="209">
        <f t="shared" si="26"/>
        <v>8300</v>
      </c>
      <c r="F243" s="114"/>
      <c r="G243" s="114"/>
      <c r="H243" s="114"/>
      <c r="I243" s="114"/>
      <c r="J243" s="114"/>
      <c r="K243" s="209">
        <f>3300</f>
        <v>3300</v>
      </c>
      <c r="L243" s="209">
        <v>800</v>
      </c>
      <c r="M243" s="209">
        <v>1000</v>
      </c>
      <c r="N243" s="209">
        <v>1200</v>
      </c>
      <c r="O243" s="209">
        <v>2000</v>
      </c>
      <c r="P243" s="210" t="b">
        <f t="shared" si="22"/>
        <v>1</v>
      </c>
      <c r="Q243" s="211"/>
      <c r="R243" s="211" t="s">
        <v>365</v>
      </c>
      <c r="S243" s="211"/>
      <c r="T243" s="212"/>
      <c r="U243" s="211"/>
    </row>
    <row r="244" spans="1:21" s="257" customFormat="1" ht="79.5" thickBot="1">
      <c r="A244" s="112">
        <v>10</v>
      </c>
      <c r="B244" s="115" t="s">
        <v>50</v>
      </c>
      <c r="C244" s="256"/>
      <c r="D244" s="256">
        <v>2</v>
      </c>
      <c r="E244" s="209">
        <f>K244+L244+M244+N244+O244</f>
        <v>2780</v>
      </c>
      <c r="F244" s="114"/>
      <c r="G244" s="114"/>
      <c r="H244" s="114"/>
      <c r="I244" s="114"/>
      <c r="J244" s="114"/>
      <c r="K244" s="209">
        <f>1200*0.9</f>
        <v>1080</v>
      </c>
      <c r="L244" s="209">
        <v>400</v>
      </c>
      <c r="M244" s="209">
        <v>400</v>
      </c>
      <c r="N244" s="209">
        <v>400</v>
      </c>
      <c r="O244" s="209">
        <v>500</v>
      </c>
      <c r="P244" s="210" t="b">
        <f t="shared" si="22"/>
        <v>1</v>
      </c>
      <c r="Q244" s="211"/>
      <c r="R244" s="211" t="s">
        <v>365</v>
      </c>
      <c r="S244" s="211"/>
      <c r="T244" s="212"/>
      <c r="U244" s="211"/>
    </row>
    <row r="245" spans="1:21" s="257" customFormat="1" ht="20.25" thickBot="1">
      <c r="A245" s="259"/>
      <c r="B245" s="260" t="s">
        <v>4</v>
      </c>
      <c r="C245" s="261"/>
      <c r="D245" s="262"/>
      <c r="E245" s="262">
        <f t="shared" ref="E245:O245" si="28">E155+E160+E233+E234+E239+E240+E241+E242+E243+E244</f>
        <v>417423.91</v>
      </c>
      <c r="F245" s="262">
        <f t="shared" si="28"/>
        <v>0</v>
      </c>
      <c r="G245" s="262">
        <f t="shared" si="28"/>
        <v>0</v>
      </c>
      <c r="H245" s="262">
        <f t="shared" si="28"/>
        <v>0</v>
      </c>
      <c r="I245" s="262">
        <f t="shared" si="28"/>
        <v>0</v>
      </c>
      <c r="J245" s="262">
        <f t="shared" si="28"/>
        <v>0</v>
      </c>
      <c r="K245" s="263">
        <f t="shared" si="28"/>
        <v>62028.909999999996</v>
      </c>
      <c r="L245" s="263">
        <f t="shared" si="28"/>
        <v>68637</v>
      </c>
      <c r="M245" s="263">
        <f t="shared" si="28"/>
        <v>40869</v>
      </c>
      <c r="N245" s="263">
        <f t="shared" si="28"/>
        <v>141849</v>
      </c>
      <c r="O245" s="263">
        <f t="shared" si="28"/>
        <v>104040</v>
      </c>
      <c r="P245" s="210" t="b">
        <f t="shared" si="22"/>
        <v>1</v>
      </c>
      <c r="Q245" s="35"/>
      <c r="R245" s="264"/>
      <c r="S245" s="264"/>
      <c r="T245" s="265"/>
      <c r="U245" s="264"/>
    </row>
    <row r="246" spans="1:21" s="257" customFormat="1" ht="18.75" customHeight="1" thickBot="1">
      <c r="A246" s="266" t="s">
        <v>538</v>
      </c>
      <c r="B246" s="267"/>
      <c r="C246" s="267"/>
      <c r="D246" s="267"/>
      <c r="E246" s="267"/>
      <c r="F246" s="267"/>
      <c r="G246" s="267"/>
      <c r="H246" s="267"/>
      <c r="I246" s="267"/>
      <c r="J246" s="267"/>
      <c r="K246" s="267"/>
      <c r="L246" s="267"/>
      <c r="M246" s="267"/>
      <c r="N246" s="267"/>
      <c r="O246" s="267"/>
      <c r="P246" s="267"/>
      <c r="Q246" s="267"/>
      <c r="R246" s="267"/>
      <c r="S246" s="267"/>
      <c r="T246" s="267"/>
      <c r="U246" s="268"/>
    </row>
    <row r="247" spans="1:21" s="257" customFormat="1" ht="18.75">
      <c r="A247" s="269" t="s">
        <v>1</v>
      </c>
      <c r="B247" s="270" t="s">
        <v>2</v>
      </c>
      <c r="C247" s="270" t="s">
        <v>3</v>
      </c>
      <c r="D247" s="270" t="s">
        <v>4</v>
      </c>
      <c r="E247" s="270"/>
      <c r="F247" s="270" t="s">
        <v>5</v>
      </c>
      <c r="G247" s="270" t="s">
        <v>6</v>
      </c>
      <c r="H247" s="270"/>
      <c r="I247" s="270" t="s">
        <v>7</v>
      </c>
      <c r="J247" s="270"/>
      <c r="K247" s="271" t="s">
        <v>8</v>
      </c>
      <c r="L247" s="272"/>
      <c r="M247" s="272"/>
      <c r="N247" s="272"/>
      <c r="O247" s="273"/>
      <c r="P247" s="270" t="s">
        <v>9</v>
      </c>
      <c r="Q247" s="270" t="s">
        <v>10</v>
      </c>
      <c r="R247" s="270" t="s">
        <v>11</v>
      </c>
      <c r="S247" s="270" t="s">
        <v>12</v>
      </c>
      <c r="T247" s="274" t="s">
        <v>13</v>
      </c>
      <c r="U247" s="270" t="s">
        <v>14</v>
      </c>
    </row>
    <row r="248" spans="1:21" s="240" customFormat="1" ht="107.25" customHeight="1">
      <c r="A248" s="275"/>
      <c r="B248" s="276"/>
      <c r="C248" s="276"/>
      <c r="D248" s="276" t="s">
        <v>15</v>
      </c>
      <c r="E248" s="276" t="s">
        <v>16</v>
      </c>
      <c r="F248" s="276"/>
      <c r="G248" s="276" t="s">
        <v>17</v>
      </c>
      <c r="H248" s="276" t="s">
        <v>18</v>
      </c>
      <c r="I248" s="276" t="s">
        <v>17</v>
      </c>
      <c r="J248" s="276" t="s">
        <v>18</v>
      </c>
      <c r="K248" s="277"/>
      <c r="L248" s="278"/>
      <c r="M248" s="278"/>
      <c r="N248" s="278"/>
      <c r="O248" s="279"/>
      <c r="P248" s="276"/>
      <c r="Q248" s="276"/>
      <c r="R248" s="276"/>
      <c r="S248" s="276"/>
      <c r="T248" s="280"/>
      <c r="U248" s="276"/>
    </row>
    <row r="249" spans="1:21" s="257" customFormat="1" ht="18.75">
      <c r="A249" s="275"/>
      <c r="B249" s="276"/>
      <c r="C249" s="276"/>
      <c r="D249" s="276"/>
      <c r="E249" s="276"/>
      <c r="F249" s="276"/>
      <c r="G249" s="276"/>
      <c r="H249" s="276"/>
      <c r="I249" s="276"/>
      <c r="J249" s="276"/>
      <c r="K249" s="281" t="s">
        <v>155</v>
      </c>
      <c r="L249" s="281" t="s">
        <v>156</v>
      </c>
      <c r="M249" s="281" t="s">
        <v>157</v>
      </c>
      <c r="N249" s="281" t="s">
        <v>158</v>
      </c>
      <c r="O249" s="281" t="s">
        <v>159</v>
      </c>
      <c r="P249" s="276"/>
      <c r="Q249" s="276"/>
      <c r="R249" s="276"/>
      <c r="S249" s="276"/>
      <c r="T249" s="280"/>
      <c r="U249" s="276"/>
    </row>
    <row r="250" spans="1:21" s="257" customFormat="1">
      <c r="A250" s="15">
        <v>1</v>
      </c>
      <c r="B250" s="12">
        <v>2</v>
      </c>
      <c r="C250" s="12">
        <v>3</v>
      </c>
      <c r="D250" s="12">
        <v>4</v>
      </c>
      <c r="E250" s="15">
        <v>5</v>
      </c>
      <c r="F250" s="12">
        <v>6</v>
      </c>
      <c r="G250" s="12">
        <v>7</v>
      </c>
      <c r="H250" s="12">
        <v>8</v>
      </c>
      <c r="I250" s="15">
        <v>9</v>
      </c>
      <c r="J250" s="12">
        <v>10</v>
      </c>
      <c r="K250" s="12">
        <v>11</v>
      </c>
      <c r="L250" s="12">
        <v>12</v>
      </c>
      <c r="M250" s="15">
        <v>13</v>
      </c>
      <c r="N250" s="12">
        <v>14</v>
      </c>
      <c r="O250" s="12">
        <v>15</v>
      </c>
      <c r="P250" s="282"/>
      <c r="Q250" s="45">
        <v>16</v>
      </c>
      <c r="R250" s="45">
        <v>17</v>
      </c>
      <c r="S250" s="45">
        <v>18</v>
      </c>
      <c r="T250" s="283">
        <v>20</v>
      </c>
      <c r="U250" s="45">
        <v>21</v>
      </c>
    </row>
    <row r="251" spans="1:21" s="257" customFormat="1">
      <c r="A251" s="12">
        <v>1</v>
      </c>
      <c r="B251" s="284" t="s">
        <v>19</v>
      </c>
      <c r="C251" s="45"/>
      <c r="D251" s="45"/>
      <c r="E251" s="45">
        <f>E252+E255+E256</f>
        <v>0</v>
      </c>
      <c r="F251" s="45"/>
      <c r="G251" s="45"/>
      <c r="H251" s="45"/>
      <c r="I251" s="45"/>
      <c r="J251" s="45"/>
      <c r="K251" s="46">
        <f>K252+K255+K256</f>
        <v>0</v>
      </c>
      <c r="L251" s="46">
        <f t="shared" ref="L251:O251" si="29">L252+L255+L256</f>
        <v>0</v>
      </c>
      <c r="M251" s="46">
        <f t="shared" si="29"/>
        <v>0</v>
      </c>
      <c r="N251" s="46">
        <f t="shared" si="29"/>
        <v>0</v>
      </c>
      <c r="O251" s="46">
        <f t="shared" si="29"/>
        <v>0</v>
      </c>
      <c r="P251" s="46"/>
      <c r="Q251" s="24"/>
      <c r="R251" s="285"/>
      <c r="S251" s="24"/>
      <c r="T251" s="23"/>
      <c r="U251" s="24"/>
    </row>
    <row r="252" spans="1:21" s="257" customFormat="1" ht="18.75">
      <c r="A252" s="286" t="s">
        <v>20</v>
      </c>
      <c r="B252" s="287" t="s">
        <v>21</v>
      </c>
      <c r="C252" s="286" t="s">
        <v>22</v>
      </c>
      <c r="D252" s="288">
        <v>1</v>
      </c>
      <c r="E252" s="46">
        <f>E254</f>
        <v>0</v>
      </c>
      <c r="F252" s="286"/>
      <c r="G252" s="286"/>
      <c r="H252" s="286"/>
      <c r="I252" s="286"/>
      <c r="J252" s="286"/>
      <c r="K252" s="46">
        <f>K254</f>
        <v>0</v>
      </c>
      <c r="L252" s="46">
        <f>L254</f>
        <v>0</v>
      </c>
      <c r="M252" s="46">
        <f>M254</f>
        <v>0</v>
      </c>
      <c r="N252" s="46">
        <f>N254</f>
        <v>0</v>
      </c>
      <c r="O252" s="46">
        <f>O254</f>
        <v>0</v>
      </c>
      <c r="P252" s="289" t="b">
        <f t="shared" ref="P252:P315" si="30">E252=K252+L252+M252+N252+O252</f>
        <v>1</v>
      </c>
      <c r="Q252" s="290"/>
      <c r="R252" s="291"/>
      <c r="S252" s="290"/>
      <c r="T252" s="292"/>
      <c r="U252" s="290"/>
    </row>
    <row r="253" spans="1:21" s="257" customFormat="1" ht="18.75">
      <c r="A253" s="286"/>
      <c r="B253" s="293" t="s">
        <v>539</v>
      </c>
      <c r="C253" s="286"/>
      <c r="D253" s="288"/>
      <c r="E253" s="46"/>
      <c r="F253" s="286"/>
      <c r="G253" s="286"/>
      <c r="H253" s="286"/>
      <c r="I253" s="286"/>
      <c r="J253" s="286"/>
      <c r="K253" s="46"/>
      <c r="L253" s="46"/>
      <c r="M253" s="46"/>
      <c r="N253" s="46"/>
      <c r="O253" s="46"/>
      <c r="P253" s="289" t="b">
        <f t="shared" si="30"/>
        <v>1</v>
      </c>
      <c r="Q253" s="290"/>
      <c r="R253" s="291"/>
      <c r="S253" s="290"/>
      <c r="T253" s="292"/>
      <c r="U253" s="290"/>
    </row>
    <row r="254" spans="1:21" s="257" customFormat="1" ht="61.5" customHeight="1">
      <c r="A254" s="294" t="s">
        <v>540</v>
      </c>
      <c r="B254" s="295" t="s">
        <v>541</v>
      </c>
      <c r="C254" s="286" t="s">
        <v>22</v>
      </c>
      <c r="D254" s="288">
        <v>1</v>
      </c>
      <c r="E254" s="48">
        <f>K254+L254+M254+N254+O254</f>
        <v>0</v>
      </c>
      <c r="F254" s="294" t="s">
        <v>56</v>
      </c>
      <c r="G254" s="294" t="s">
        <v>424</v>
      </c>
      <c r="H254" s="294" t="s">
        <v>542</v>
      </c>
      <c r="I254" s="294" t="s">
        <v>373</v>
      </c>
      <c r="J254" s="294" t="s">
        <v>92</v>
      </c>
      <c r="K254" s="46">
        <v>0</v>
      </c>
      <c r="L254" s="46"/>
      <c r="M254" s="46"/>
      <c r="N254" s="46"/>
      <c r="O254" s="46"/>
      <c r="P254" s="289" t="b">
        <f t="shared" si="30"/>
        <v>1</v>
      </c>
      <c r="Q254" s="290"/>
      <c r="R254" s="137" t="s">
        <v>61</v>
      </c>
      <c r="S254" s="290" t="s">
        <v>543</v>
      </c>
      <c r="T254" s="138" t="s">
        <v>63</v>
      </c>
      <c r="U254" s="296" t="s">
        <v>544</v>
      </c>
    </row>
    <row r="255" spans="1:21" s="257" customFormat="1" ht="18.75">
      <c r="A255" s="286" t="s">
        <v>23</v>
      </c>
      <c r="B255" s="287" t="s">
        <v>24</v>
      </c>
      <c r="C255" s="286" t="s">
        <v>22</v>
      </c>
      <c r="D255" s="288">
        <v>0</v>
      </c>
      <c r="E255" s="46">
        <v>0</v>
      </c>
      <c r="F255" s="286"/>
      <c r="G255" s="286"/>
      <c r="H255" s="286"/>
      <c r="I255" s="286"/>
      <c r="J255" s="286"/>
      <c r="K255" s="46">
        <v>0</v>
      </c>
      <c r="L255" s="46">
        <v>0</v>
      </c>
      <c r="M255" s="46">
        <v>0</v>
      </c>
      <c r="N255" s="46">
        <v>0</v>
      </c>
      <c r="O255" s="46">
        <v>0</v>
      </c>
      <c r="P255" s="289" t="b">
        <f t="shared" si="30"/>
        <v>1</v>
      </c>
      <c r="Q255" s="290"/>
      <c r="R255" s="291"/>
      <c r="S255" s="290"/>
      <c r="T255" s="292"/>
      <c r="U255" s="290"/>
    </row>
    <row r="256" spans="1:21" s="257" customFormat="1" ht="31.5">
      <c r="A256" s="286" t="s">
        <v>545</v>
      </c>
      <c r="B256" s="287" t="s">
        <v>546</v>
      </c>
      <c r="C256" s="286" t="s">
        <v>27</v>
      </c>
      <c r="D256" s="288">
        <f>D258</f>
        <v>14.8</v>
      </c>
      <c r="E256" s="46">
        <f>E258</f>
        <v>0</v>
      </c>
      <c r="F256" s="286"/>
      <c r="G256" s="286"/>
      <c r="H256" s="286"/>
      <c r="I256" s="286"/>
      <c r="J256" s="286"/>
      <c r="K256" s="46">
        <v>0</v>
      </c>
      <c r="L256" s="46">
        <f>L258</f>
        <v>0</v>
      </c>
      <c r="M256" s="46">
        <f>M258</f>
        <v>0</v>
      </c>
      <c r="N256" s="46">
        <f>N258</f>
        <v>0</v>
      </c>
      <c r="O256" s="46">
        <f>O258</f>
        <v>0</v>
      </c>
      <c r="P256" s="289" t="b">
        <f t="shared" si="30"/>
        <v>1</v>
      </c>
      <c r="Q256" s="290"/>
      <c r="R256" s="291"/>
      <c r="S256" s="290"/>
      <c r="T256" s="292"/>
      <c r="U256" s="290"/>
    </row>
    <row r="257" spans="1:21" s="302" customFormat="1" ht="18.75">
      <c r="A257" s="297"/>
      <c r="B257" s="293" t="s">
        <v>539</v>
      </c>
      <c r="C257" s="297"/>
      <c r="D257" s="298"/>
      <c r="E257" s="299"/>
      <c r="F257" s="297"/>
      <c r="G257" s="297"/>
      <c r="H257" s="297"/>
      <c r="I257" s="297"/>
      <c r="J257" s="297"/>
      <c r="K257" s="299"/>
      <c r="L257" s="46"/>
      <c r="M257" s="299"/>
      <c r="N257" s="299"/>
      <c r="O257" s="299"/>
      <c r="P257" s="289" t="b">
        <f t="shared" si="30"/>
        <v>1</v>
      </c>
      <c r="Q257" s="300"/>
      <c r="R257" s="301"/>
      <c r="S257" s="300"/>
      <c r="T257" s="300"/>
      <c r="U257" s="300"/>
    </row>
    <row r="258" spans="1:21" s="302" customFormat="1" ht="63">
      <c r="A258" s="303" t="s">
        <v>160</v>
      </c>
      <c r="B258" s="293" t="s">
        <v>547</v>
      </c>
      <c r="C258" s="303" t="s">
        <v>27</v>
      </c>
      <c r="D258" s="304">
        <v>14.8</v>
      </c>
      <c r="E258" s="305">
        <f>K258+L258+M258+N258+O258</f>
        <v>0</v>
      </c>
      <c r="F258" s="303" t="s">
        <v>82</v>
      </c>
      <c r="G258" s="303" t="s">
        <v>424</v>
      </c>
      <c r="H258" s="303" t="s">
        <v>542</v>
      </c>
      <c r="I258" s="303" t="s">
        <v>373</v>
      </c>
      <c r="J258" s="303" t="s">
        <v>92</v>
      </c>
      <c r="K258" s="305"/>
      <c r="L258" s="305"/>
      <c r="M258" s="48"/>
      <c r="N258" s="305"/>
      <c r="O258" s="305"/>
      <c r="P258" s="289" t="b">
        <f t="shared" si="30"/>
        <v>1</v>
      </c>
      <c r="Q258" s="300"/>
      <c r="R258" s="306" t="s">
        <v>61</v>
      </c>
      <c r="S258" s="300" t="s">
        <v>543</v>
      </c>
      <c r="T258" s="306" t="s">
        <v>63</v>
      </c>
      <c r="U258" s="300" t="s">
        <v>548</v>
      </c>
    </row>
    <row r="259" spans="1:21" s="257" customFormat="1" ht="31.5">
      <c r="A259" s="286" t="s">
        <v>30</v>
      </c>
      <c r="B259" s="287" t="s">
        <v>31</v>
      </c>
      <c r="C259" s="286"/>
      <c r="D259" s="286">
        <f>D260+D302+D308+D310</f>
        <v>27.15</v>
      </c>
      <c r="E259" s="46">
        <f>E260+E302+E308+E310</f>
        <v>326144.81999999995</v>
      </c>
      <c r="F259" s="286"/>
      <c r="G259" s="286"/>
      <c r="H259" s="286"/>
      <c r="I259" s="286"/>
      <c r="J259" s="286"/>
      <c r="K259" s="46">
        <f>K260+K302+K308+K310</f>
        <v>15029.82</v>
      </c>
      <c r="L259" s="46">
        <f>L260+L302+L308+L310</f>
        <v>80300</v>
      </c>
      <c r="M259" s="46">
        <f>M260+M302+M308+M310</f>
        <v>17290</v>
      </c>
      <c r="N259" s="46">
        <f>N260+N302+N308+N310</f>
        <v>63741</v>
      </c>
      <c r="O259" s="46">
        <f>O260+O302+O308+O310</f>
        <v>149784</v>
      </c>
      <c r="P259" s="289" t="b">
        <f t="shared" si="30"/>
        <v>1</v>
      </c>
      <c r="Q259" s="307"/>
      <c r="R259" s="308"/>
      <c r="S259" s="307"/>
      <c r="T259" s="309"/>
      <c r="U259" s="307"/>
    </row>
    <row r="260" spans="1:21" s="257" customFormat="1" ht="18.75">
      <c r="A260" s="286" t="s">
        <v>32</v>
      </c>
      <c r="B260" s="310" t="s">
        <v>21</v>
      </c>
      <c r="C260" s="286"/>
      <c r="D260" s="311">
        <f>SUM(D261:D301)</f>
        <v>23</v>
      </c>
      <c r="E260" s="311">
        <f>SUM(E261:E301)</f>
        <v>296961.21999999997</v>
      </c>
      <c r="F260" s="286"/>
      <c r="G260" s="286"/>
      <c r="H260" s="286"/>
      <c r="I260" s="286"/>
      <c r="J260" s="286"/>
      <c r="K260" s="46">
        <f>SUM(K261:K301)</f>
        <v>11076.22</v>
      </c>
      <c r="L260" s="46">
        <f>SUM(L261:L301)</f>
        <v>79370</v>
      </c>
      <c r="M260" s="46">
        <f>SUM(M261:M301)</f>
        <v>8290</v>
      </c>
      <c r="N260" s="46">
        <f>SUM(N261:N301)</f>
        <v>63441</v>
      </c>
      <c r="O260" s="46">
        <f>SUM(O261:O301)</f>
        <v>134784</v>
      </c>
      <c r="P260" s="289" t="b">
        <f t="shared" si="30"/>
        <v>1</v>
      </c>
      <c r="Q260" s="312">
        <f>E260-K260-L260-M260-N260-O260</f>
        <v>0</v>
      </c>
      <c r="R260" s="291"/>
      <c r="S260" s="290"/>
      <c r="T260" s="292"/>
      <c r="U260" s="290"/>
    </row>
    <row r="261" spans="1:21" s="257" customFormat="1" ht="150">
      <c r="A261" s="313" t="s">
        <v>549</v>
      </c>
      <c r="B261" s="314" t="s">
        <v>550</v>
      </c>
      <c r="C261" s="315" t="s">
        <v>22</v>
      </c>
      <c r="D261" s="143">
        <v>1</v>
      </c>
      <c r="E261" s="141">
        <f t="shared" ref="E261:E301" si="31">K261+L261+M261+N261+O261</f>
        <v>5000</v>
      </c>
      <c r="F261" s="315" t="s">
        <v>56</v>
      </c>
      <c r="G261" s="315" t="s">
        <v>409</v>
      </c>
      <c r="H261" s="315" t="s">
        <v>551</v>
      </c>
      <c r="I261" s="315" t="s">
        <v>386</v>
      </c>
      <c r="J261" s="315" t="s">
        <v>92</v>
      </c>
      <c r="K261" s="141"/>
      <c r="L261" s="141">
        <v>5000</v>
      </c>
      <c r="M261" s="141"/>
      <c r="N261" s="141"/>
      <c r="O261" s="141"/>
      <c r="P261" s="289" t="b">
        <f t="shared" si="30"/>
        <v>1</v>
      </c>
      <c r="Q261" s="316"/>
      <c r="R261" s="137" t="s">
        <v>61</v>
      </c>
      <c r="S261" s="316" t="s">
        <v>62</v>
      </c>
      <c r="T261" s="138" t="s">
        <v>552</v>
      </c>
      <c r="U261" s="316" t="s">
        <v>553</v>
      </c>
    </row>
    <row r="262" spans="1:21" s="257" customFormat="1" ht="126" customHeight="1">
      <c r="A262" s="317" t="s">
        <v>54</v>
      </c>
      <c r="B262" s="314" t="s">
        <v>554</v>
      </c>
      <c r="C262" s="317" t="s">
        <v>22</v>
      </c>
      <c r="D262" s="318">
        <v>1</v>
      </c>
      <c r="E262" s="319">
        <f t="shared" si="31"/>
        <v>6102.11</v>
      </c>
      <c r="F262" s="315" t="s">
        <v>56</v>
      </c>
      <c r="G262" s="315" t="s">
        <v>409</v>
      </c>
      <c r="H262" s="315" t="s">
        <v>551</v>
      </c>
      <c r="I262" s="315" t="s">
        <v>373</v>
      </c>
      <c r="J262" s="315" t="s">
        <v>98</v>
      </c>
      <c r="K262" s="141">
        <v>6102.11</v>
      </c>
      <c r="L262" s="141"/>
      <c r="M262" s="141"/>
      <c r="N262" s="141"/>
      <c r="O262" s="141"/>
      <c r="P262" s="289" t="b">
        <f t="shared" si="30"/>
        <v>1</v>
      </c>
      <c r="Q262" s="316"/>
      <c r="R262" s="137" t="s">
        <v>61</v>
      </c>
      <c r="S262" s="316" t="s">
        <v>62</v>
      </c>
      <c r="T262" s="138" t="s">
        <v>555</v>
      </c>
      <c r="U262" s="316" t="s">
        <v>556</v>
      </c>
    </row>
    <row r="263" spans="1:21" s="257" customFormat="1" ht="150">
      <c r="A263" s="320"/>
      <c r="B263" s="314" t="s">
        <v>557</v>
      </c>
      <c r="C263" s="321"/>
      <c r="D263" s="322"/>
      <c r="E263" s="141">
        <f t="shared" si="31"/>
        <v>15800</v>
      </c>
      <c r="F263" s="315" t="s">
        <v>56</v>
      </c>
      <c r="G263" s="315" t="s">
        <v>409</v>
      </c>
      <c r="H263" s="315" t="s">
        <v>551</v>
      </c>
      <c r="I263" s="315" t="s">
        <v>386</v>
      </c>
      <c r="J263" s="315" t="s">
        <v>92</v>
      </c>
      <c r="K263" s="141"/>
      <c r="L263" s="141">
        <f>18000-2200</f>
        <v>15800</v>
      </c>
      <c r="M263" s="141"/>
      <c r="N263" s="141"/>
      <c r="O263" s="141"/>
      <c r="P263" s="289" t="b">
        <f t="shared" si="30"/>
        <v>1</v>
      </c>
      <c r="Q263" s="316"/>
      <c r="R263" s="137" t="s">
        <v>61</v>
      </c>
      <c r="S263" s="316" t="s">
        <v>62</v>
      </c>
      <c r="T263" s="138" t="s">
        <v>558</v>
      </c>
      <c r="U263" s="316" t="s">
        <v>559</v>
      </c>
    </row>
    <row r="264" spans="1:21" s="257" customFormat="1" ht="150">
      <c r="A264" s="320" t="s">
        <v>75</v>
      </c>
      <c r="B264" s="314" t="s">
        <v>560</v>
      </c>
      <c r="C264" s="315" t="s">
        <v>22</v>
      </c>
      <c r="D264" s="318">
        <v>1</v>
      </c>
      <c r="E264" s="319">
        <f t="shared" si="31"/>
        <v>22192</v>
      </c>
      <c r="F264" s="315" t="s">
        <v>82</v>
      </c>
      <c r="G264" s="315" t="s">
        <v>375</v>
      </c>
      <c r="H264" s="315" t="s">
        <v>561</v>
      </c>
      <c r="I264" s="315" t="s">
        <v>381</v>
      </c>
      <c r="J264" s="315" t="s">
        <v>183</v>
      </c>
      <c r="K264" s="141"/>
      <c r="L264" s="141">
        <v>520</v>
      </c>
      <c r="M264" s="141"/>
      <c r="N264" s="141">
        <f>11000</f>
        <v>11000</v>
      </c>
      <c r="O264" s="141">
        <v>10672</v>
      </c>
      <c r="P264" s="289" t="b">
        <f t="shared" si="30"/>
        <v>1</v>
      </c>
      <c r="Q264" s="316"/>
      <c r="R264" s="137" t="s">
        <v>61</v>
      </c>
      <c r="S264" s="316" t="s">
        <v>62</v>
      </c>
      <c r="T264" s="138" t="s">
        <v>558</v>
      </c>
      <c r="U264" s="316" t="s">
        <v>562</v>
      </c>
    </row>
    <row r="265" spans="1:21" s="257" customFormat="1" ht="116.25" customHeight="1">
      <c r="A265" s="321"/>
      <c r="B265" s="314" t="s">
        <v>563</v>
      </c>
      <c r="C265" s="315" t="s">
        <v>22</v>
      </c>
      <c r="D265" s="322"/>
      <c r="E265" s="319">
        <f t="shared" si="31"/>
        <v>4600</v>
      </c>
      <c r="F265" s="315" t="s">
        <v>82</v>
      </c>
      <c r="G265" s="315" t="s">
        <v>375</v>
      </c>
      <c r="H265" s="315" t="s">
        <v>561</v>
      </c>
      <c r="I265" s="315" t="s">
        <v>391</v>
      </c>
      <c r="J265" s="315" t="s">
        <v>183</v>
      </c>
      <c r="K265" s="141"/>
      <c r="L265" s="141"/>
      <c r="M265" s="141"/>
      <c r="N265" s="141"/>
      <c r="O265" s="141">
        <v>4600</v>
      </c>
      <c r="P265" s="289" t="b">
        <f t="shared" si="30"/>
        <v>1</v>
      </c>
      <c r="Q265" s="316"/>
      <c r="R265" s="137" t="s">
        <v>61</v>
      </c>
      <c r="S265" s="316" t="s">
        <v>62</v>
      </c>
      <c r="T265" s="138" t="s">
        <v>564</v>
      </c>
      <c r="U265" s="316" t="s">
        <v>556</v>
      </c>
    </row>
    <row r="266" spans="1:21" s="257" customFormat="1" ht="81" customHeight="1">
      <c r="A266" s="315" t="s">
        <v>80</v>
      </c>
      <c r="B266" s="314" t="s">
        <v>565</v>
      </c>
      <c r="C266" s="315" t="s">
        <v>22</v>
      </c>
      <c r="D266" s="143">
        <v>1</v>
      </c>
      <c r="E266" s="319">
        <f t="shared" si="31"/>
        <v>6340</v>
      </c>
      <c r="F266" s="315" t="s">
        <v>82</v>
      </c>
      <c r="G266" s="315" t="s">
        <v>381</v>
      </c>
      <c r="H266" s="315" t="s">
        <v>566</v>
      </c>
      <c r="I266" s="315" t="s">
        <v>391</v>
      </c>
      <c r="J266" s="315" t="s">
        <v>183</v>
      </c>
      <c r="K266" s="141"/>
      <c r="L266" s="141"/>
      <c r="M266" s="141"/>
      <c r="N266" s="141">
        <v>520</v>
      </c>
      <c r="O266" s="141">
        <v>5820</v>
      </c>
      <c r="P266" s="289" t="b">
        <f t="shared" si="30"/>
        <v>1</v>
      </c>
      <c r="Q266" s="316"/>
      <c r="R266" s="137" t="s">
        <v>61</v>
      </c>
      <c r="S266" s="316" t="s">
        <v>62</v>
      </c>
      <c r="T266" s="138" t="s">
        <v>567</v>
      </c>
      <c r="U266" s="316" t="s">
        <v>553</v>
      </c>
    </row>
    <row r="267" spans="1:21" s="257" customFormat="1" ht="75">
      <c r="A267" s="317" t="s">
        <v>88</v>
      </c>
      <c r="B267" s="314" t="s">
        <v>568</v>
      </c>
      <c r="C267" s="315" t="s">
        <v>22</v>
      </c>
      <c r="D267" s="318">
        <v>1</v>
      </c>
      <c r="E267" s="319">
        <f t="shared" si="31"/>
        <v>4974.1099999999997</v>
      </c>
      <c r="F267" s="315" t="s">
        <v>56</v>
      </c>
      <c r="G267" s="315" t="s">
        <v>409</v>
      </c>
      <c r="H267" s="315" t="s">
        <v>551</v>
      </c>
      <c r="I267" s="315" t="s">
        <v>373</v>
      </c>
      <c r="J267" s="315" t="s">
        <v>98</v>
      </c>
      <c r="K267" s="141">
        <v>4974.1099999999997</v>
      </c>
      <c r="L267" s="141"/>
      <c r="M267" s="141"/>
      <c r="N267" s="141"/>
      <c r="O267" s="141"/>
      <c r="P267" s="289" t="b">
        <f t="shared" si="30"/>
        <v>1</v>
      </c>
      <c r="Q267" s="316"/>
      <c r="R267" s="137" t="s">
        <v>61</v>
      </c>
      <c r="S267" s="316" t="s">
        <v>62</v>
      </c>
      <c r="T267" s="138" t="s">
        <v>569</v>
      </c>
      <c r="U267" s="323" t="s">
        <v>570</v>
      </c>
    </row>
    <row r="268" spans="1:21" s="257" customFormat="1" ht="150">
      <c r="A268" s="320"/>
      <c r="B268" s="314" t="s">
        <v>571</v>
      </c>
      <c r="C268" s="315" t="s">
        <v>22</v>
      </c>
      <c r="D268" s="324"/>
      <c r="E268" s="141">
        <f t="shared" si="31"/>
        <v>7000</v>
      </c>
      <c r="F268" s="315" t="s">
        <v>56</v>
      </c>
      <c r="G268" s="315" t="s">
        <v>424</v>
      </c>
      <c r="H268" s="315" t="s">
        <v>572</v>
      </c>
      <c r="I268" s="315" t="s">
        <v>386</v>
      </c>
      <c r="J268" s="315" t="s">
        <v>92</v>
      </c>
      <c r="K268" s="141"/>
      <c r="L268" s="141">
        <v>7000</v>
      </c>
      <c r="M268" s="141"/>
      <c r="N268" s="141"/>
      <c r="O268" s="141"/>
      <c r="P268" s="289" t="b">
        <f t="shared" si="30"/>
        <v>1</v>
      </c>
      <c r="Q268" s="316"/>
      <c r="R268" s="137" t="s">
        <v>61</v>
      </c>
      <c r="S268" s="316" t="s">
        <v>62</v>
      </c>
      <c r="T268" s="138" t="s">
        <v>573</v>
      </c>
      <c r="U268" s="323" t="s">
        <v>574</v>
      </c>
    </row>
    <row r="269" spans="1:21" s="257" customFormat="1" ht="120">
      <c r="A269" s="321"/>
      <c r="B269" s="314" t="s">
        <v>575</v>
      </c>
      <c r="C269" s="315" t="s">
        <v>22</v>
      </c>
      <c r="D269" s="322"/>
      <c r="E269" s="319">
        <f t="shared" si="31"/>
        <v>3000</v>
      </c>
      <c r="F269" s="315" t="s">
        <v>82</v>
      </c>
      <c r="G269" s="315" t="s">
        <v>373</v>
      </c>
      <c r="H269" s="315" t="s">
        <v>576</v>
      </c>
      <c r="I269" s="315" t="s">
        <v>381</v>
      </c>
      <c r="J269" s="315" t="s">
        <v>124</v>
      </c>
      <c r="K269" s="141"/>
      <c r="L269" s="141"/>
      <c r="M269" s="141"/>
      <c r="N269" s="141">
        <v>3000</v>
      </c>
      <c r="O269" s="141"/>
      <c r="P269" s="289" t="b">
        <f t="shared" si="30"/>
        <v>1</v>
      </c>
      <c r="Q269" s="316"/>
      <c r="R269" s="137" t="s">
        <v>61</v>
      </c>
      <c r="S269" s="316" t="s">
        <v>62</v>
      </c>
      <c r="T269" s="138" t="s">
        <v>577</v>
      </c>
      <c r="U269" s="323" t="s">
        <v>578</v>
      </c>
    </row>
    <row r="270" spans="1:21" s="257" customFormat="1" ht="72.75" customHeight="1">
      <c r="A270" s="315" t="s">
        <v>100</v>
      </c>
      <c r="B270" s="314" t="s">
        <v>579</v>
      </c>
      <c r="C270" s="315" t="s">
        <v>22</v>
      </c>
      <c r="D270" s="143">
        <v>1</v>
      </c>
      <c r="E270" s="319">
        <f t="shared" si="31"/>
        <v>5500</v>
      </c>
      <c r="F270" s="315" t="s">
        <v>56</v>
      </c>
      <c r="G270" s="315" t="s">
        <v>409</v>
      </c>
      <c r="H270" s="315" t="s">
        <v>551</v>
      </c>
      <c r="I270" s="315" t="s">
        <v>375</v>
      </c>
      <c r="J270" s="315" t="s">
        <v>60</v>
      </c>
      <c r="K270" s="141"/>
      <c r="L270" s="141"/>
      <c r="M270" s="141">
        <v>5500</v>
      </c>
      <c r="N270" s="141"/>
      <c r="O270" s="141"/>
      <c r="P270" s="289" t="b">
        <f t="shared" si="30"/>
        <v>1</v>
      </c>
      <c r="Q270" s="316"/>
      <c r="R270" s="137" t="s">
        <v>61</v>
      </c>
      <c r="S270" s="316"/>
      <c r="T270" s="138" t="s">
        <v>63</v>
      </c>
      <c r="U270" s="316" t="s">
        <v>580</v>
      </c>
    </row>
    <row r="271" spans="1:21" s="257" customFormat="1" ht="150">
      <c r="A271" s="317" t="s">
        <v>106</v>
      </c>
      <c r="B271" s="314" t="s">
        <v>581</v>
      </c>
      <c r="C271" s="315" t="s">
        <v>22</v>
      </c>
      <c r="D271" s="318">
        <v>1</v>
      </c>
      <c r="E271" s="319">
        <f t="shared" si="31"/>
        <v>13000</v>
      </c>
      <c r="F271" s="315" t="s">
        <v>82</v>
      </c>
      <c r="G271" s="315" t="s">
        <v>373</v>
      </c>
      <c r="H271" s="315" t="s">
        <v>576</v>
      </c>
      <c r="I271" s="315" t="s">
        <v>386</v>
      </c>
      <c r="J271" s="315" t="s">
        <v>92</v>
      </c>
      <c r="K271" s="141"/>
      <c r="L271" s="141">
        <v>13000</v>
      </c>
      <c r="M271" s="141"/>
      <c r="N271" s="141"/>
      <c r="O271" s="141"/>
      <c r="P271" s="289" t="b">
        <f t="shared" si="30"/>
        <v>1</v>
      </c>
      <c r="Q271" s="316"/>
      <c r="R271" s="137" t="s">
        <v>61</v>
      </c>
      <c r="S271" s="316" t="s">
        <v>62</v>
      </c>
      <c r="T271" s="138" t="s">
        <v>582</v>
      </c>
      <c r="U271" s="316" t="s">
        <v>583</v>
      </c>
    </row>
    <row r="272" spans="1:21" s="257" customFormat="1" ht="150">
      <c r="A272" s="320"/>
      <c r="B272" s="314" t="s">
        <v>584</v>
      </c>
      <c r="C272" s="315" t="s">
        <v>22</v>
      </c>
      <c r="D272" s="322"/>
      <c r="E272" s="319">
        <f t="shared" si="31"/>
        <v>6500</v>
      </c>
      <c r="F272" s="315" t="s">
        <v>82</v>
      </c>
      <c r="G272" s="315" t="s">
        <v>373</v>
      </c>
      <c r="H272" s="315" t="s">
        <v>576</v>
      </c>
      <c r="I272" s="315" t="s">
        <v>585</v>
      </c>
      <c r="J272" s="315" t="s">
        <v>92</v>
      </c>
      <c r="K272" s="141"/>
      <c r="L272" s="141">
        <v>6500</v>
      </c>
      <c r="M272" s="141"/>
      <c r="N272" s="141"/>
      <c r="O272" s="141"/>
      <c r="P272" s="289" t="b">
        <f t="shared" si="30"/>
        <v>1</v>
      </c>
      <c r="Q272" s="316"/>
      <c r="R272" s="137" t="s">
        <v>61</v>
      </c>
      <c r="S272" s="316" t="s">
        <v>62</v>
      </c>
      <c r="T272" s="138" t="s">
        <v>586</v>
      </c>
      <c r="U272" s="316" t="s">
        <v>587</v>
      </c>
    </row>
    <row r="273" spans="1:21" s="257" customFormat="1" ht="150">
      <c r="A273" s="317" t="s">
        <v>588</v>
      </c>
      <c r="B273" s="314" t="s">
        <v>589</v>
      </c>
      <c r="C273" s="315" t="s">
        <v>22</v>
      </c>
      <c r="D273" s="318">
        <v>1</v>
      </c>
      <c r="E273" s="319">
        <f t="shared" si="31"/>
        <v>9270</v>
      </c>
      <c r="F273" s="315" t="s">
        <v>82</v>
      </c>
      <c r="G273" s="315" t="s">
        <v>375</v>
      </c>
      <c r="H273" s="315" t="s">
        <v>561</v>
      </c>
      <c r="I273" s="315" t="s">
        <v>381</v>
      </c>
      <c r="J273" s="315" t="s">
        <v>124</v>
      </c>
      <c r="K273" s="141"/>
      <c r="L273" s="141"/>
      <c r="M273" s="141">
        <v>520</v>
      </c>
      <c r="N273" s="141">
        <v>8750</v>
      </c>
      <c r="O273" s="141"/>
      <c r="P273" s="289" t="b">
        <f t="shared" si="30"/>
        <v>1</v>
      </c>
      <c r="Q273" s="316"/>
      <c r="R273" s="137" t="s">
        <v>61</v>
      </c>
      <c r="S273" s="316" t="s">
        <v>62</v>
      </c>
      <c r="T273" s="138" t="s">
        <v>590</v>
      </c>
      <c r="U273" s="323" t="s">
        <v>587</v>
      </c>
    </row>
    <row r="274" spans="1:21" s="257" customFormat="1" ht="150">
      <c r="A274" s="320"/>
      <c r="B274" s="314" t="s">
        <v>591</v>
      </c>
      <c r="C274" s="315" t="s">
        <v>22</v>
      </c>
      <c r="D274" s="324"/>
      <c r="E274" s="319">
        <f t="shared" si="31"/>
        <v>7251</v>
      </c>
      <c r="F274" s="315" t="s">
        <v>82</v>
      </c>
      <c r="G274" s="315" t="s">
        <v>375</v>
      </c>
      <c r="H274" s="315" t="s">
        <v>561</v>
      </c>
      <c r="I274" s="315" t="s">
        <v>381</v>
      </c>
      <c r="J274" s="315" t="s">
        <v>124</v>
      </c>
      <c r="K274" s="141"/>
      <c r="L274" s="141"/>
      <c r="M274" s="141"/>
      <c r="N274" s="141">
        <f>6500+1000-249</f>
        <v>7251</v>
      </c>
      <c r="O274" s="141"/>
      <c r="P274" s="289" t="b">
        <f t="shared" si="30"/>
        <v>1</v>
      </c>
      <c r="Q274" s="316"/>
      <c r="R274" s="137" t="s">
        <v>61</v>
      </c>
      <c r="S274" s="316" t="s">
        <v>62</v>
      </c>
      <c r="T274" s="138" t="s">
        <v>590</v>
      </c>
      <c r="U274" s="323" t="s">
        <v>592</v>
      </c>
    </row>
    <row r="275" spans="1:21" s="257" customFormat="1" ht="150">
      <c r="A275" s="321"/>
      <c r="B275" s="314" t="s">
        <v>593</v>
      </c>
      <c r="C275" s="315" t="s">
        <v>22</v>
      </c>
      <c r="D275" s="322"/>
      <c r="E275" s="319">
        <f t="shared" si="31"/>
        <v>12000</v>
      </c>
      <c r="F275" s="315" t="s">
        <v>82</v>
      </c>
      <c r="G275" s="315" t="s">
        <v>375</v>
      </c>
      <c r="H275" s="315" t="s">
        <v>561</v>
      </c>
      <c r="I275" s="315" t="s">
        <v>391</v>
      </c>
      <c r="J275" s="315" t="s">
        <v>183</v>
      </c>
      <c r="K275" s="141"/>
      <c r="L275" s="141"/>
      <c r="M275" s="141"/>
      <c r="N275" s="141"/>
      <c r="O275" s="141">
        <v>12000</v>
      </c>
      <c r="P275" s="289" t="b">
        <f t="shared" si="30"/>
        <v>1</v>
      </c>
      <c r="Q275" s="316"/>
      <c r="R275" s="137" t="s">
        <v>61</v>
      </c>
      <c r="S275" s="316" t="s">
        <v>62</v>
      </c>
      <c r="T275" s="138" t="s">
        <v>590</v>
      </c>
      <c r="U275" s="323" t="s">
        <v>594</v>
      </c>
    </row>
    <row r="276" spans="1:21" s="257" customFormat="1" ht="150">
      <c r="A276" s="317" t="s">
        <v>595</v>
      </c>
      <c r="B276" s="314" t="s">
        <v>596</v>
      </c>
      <c r="C276" s="315" t="s">
        <v>22</v>
      </c>
      <c r="D276" s="318">
        <v>1</v>
      </c>
      <c r="E276" s="319">
        <f t="shared" si="31"/>
        <v>8320</v>
      </c>
      <c r="F276" s="315" t="s">
        <v>82</v>
      </c>
      <c r="G276" s="315" t="s">
        <v>381</v>
      </c>
      <c r="H276" s="315" t="s">
        <v>566</v>
      </c>
      <c r="I276" s="315" t="s">
        <v>391</v>
      </c>
      <c r="J276" s="315" t="s">
        <v>183</v>
      </c>
      <c r="K276" s="141"/>
      <c r="L276" s="141"/>
      <c r="M276" s="141"/>
      <c r="N276" s="141">
        <v>520</v>
      </c>
      <c r="O276" s="141">
        <v>7800</v>
      </c>
      <c r="P276" s="289" t="b">
        <f t="shared" si="30"/>
        <v>1</v>
      </c>
      <c r="Q276" s="316"/>
      <c r="R276" s="137" t="s">
        <v>61</v>
      </c>
      <c r="S276" s="316" t="s">
        <v>62</v>
      </c>
      <c r="T276" s="138" t="s">
        <v>586</v>
      </c>
      <c r="U276" s="316" t="s">
        <v>597</v>
      </c>
    </row>
    <row r="277" spans="1:21" s="257" customFormat="1" ht="120">
      <c r="A277" s="320"/>
      <c r="B277" s="314" t="s">
        <v>598</v>
      </c>
      <c r="C277" s="315" t="s">
        <v>22</v>
      </c>
      <c r="D277" s="324"/>
      <c r="E277" s="319">
        <f t="shared" si="31"/>
        <v>2500</v>
      </c>
      <c r="F277" s="315" t="s">
        <v>82</v>
      </c>
      <c r="G277" s="315" t="s">
        <v>381</v>
      </c>
      <c r="H277" s="315" t="s">
        <v>566</v>
      </c>
      <c r="I277" s="315" t="s">
        <v>391</v>
      </c>
      <c r="J277" s="315" t="s">
        <v>183</v>
      </c>
      <c r="K277" s="141"/>
      <c r="L277" s="141"/>
      <c r="M277" s="141"/>
      <c r="N277" s="141"/>
      <c r="O277" s="141">
        <v>2500</v>
      </c>
      <c r="P277" s="289" t="b">
        <f t="shared" si="30"/>
        <v>1</v>
      </c>
      <c r="Q277" s="316"/>
      <c r="R277" s="137" t="s">
        <v>61</v>
      </c>
      <c r="S277" s="316" t="s">
        <v>62</v>
      </c>
      <c r="T277" s="138" t="s">
        <v>599</v>
      </c>
      <c r="U277" s="316" t="s">
        <v>600</v>
      </c>
    </row>
    <row r="278" spans="1:21" s="257" customFormat="1" ht="135" customHeight="1">
      <c r="A278" s="321"/>
      <c r="B278" s="314" t="s">
        <v>601</v>
      </c>
      <c r="C278" s="315" t="s">
        <v>22</v>
      </c>
      <c r="D278" s="322"/>
      <c r="E278" s="319">
        <f t="shared" si="31"/>
        <v>4700</v>
      </c>
      <c r="F278" s="315" t="s">
        <v>82</v>
      </c>
      <c r="G278" s="315" t="s">
        <v>381</v>
      </c>
      <c r="H278" s="315" t="s">
        <v>566</v>
      </c>
      <c r="I278" s="315" t="s">
        <v>391</v>
      </c>
      <c r="J278" s="315" t="s">
        <v>183</v>
      </c>
      <c r="K278" s="141"/>
      <c r="L278" s="141"/>
      <c r="M278" s="141"/>
      <c r="N278" s="141"/>
      <c r="O278" s="141">
        <f>3700+1000</f>
        <v>4700</v>
      </c>
      <c r="P278" s="289" t="b">
        <f t="shared" si="30"/>
        <v>1</v>
      </c>
      <c r="Q278" s="316"/>
      <c r="R278" s="137" t="s">
        <v>61</v>
      </c>
      <c r="S278" s="316" t="s">
        <v>62</v>
      </c>
      <c r="T278" s="138" t="s">
        <v>586</v>
      </c>
      <c r="U278" s="316" t="s">
        <v>602</v>
      </c>
    </row>
    <row r="279" spans="1:21" s="257" customFormat="1" ht="118.5" customHeight="1">
      <c r="A279" s="315" t="s">
        <v>603</v>
      </c>
      <c r="B279" s="314" t="s">
        <v>604</v>
      </c>
      <c r="C279" s="315" t="s">
        <v>22</v>
      </c>
      <c r="D279" s="143">
        <v>1</v>
      </c>
      <c r="E279" s="319">
        <f t="shared" si="31"/>
        <v>18700</v>
      </c>
      <c r="F279" s="315" t="s">
        <v>82</v>
      </c>
      <c r="G279" s="315" t="s">
        <v>605</v>
      </c>
      <c r="H279" s="315" t="s">
        <v>566</v>
      </c>
      <c r="I279" s="315" t="s">
        <v>392</v>
      </c>
      <c r="J279" s="315" t="s">
        <v>183</v>
      </c>
      <c r="K279" s="141"/>
      <c r="L279" s="141"/>
      <c r="M279" s="141"/>
      <c r="N279" s="141">
        <v>800</v>
      </c>
      <c r="O279" s="141">
        <v>17900</v>
      </c>
      <c r="P279" s="289" t="b">
        <f t="shared" si="30"/>
        <v>1</v>
      </c>
      <c r="Q279" s="316"/>
      <c r="R279" s="137" t="s">
        <v>61</v>
      </c>
      <c r="S279" s="316" t="s">
        <v>62</v>
      </c>
      <c r="T279" s="138" t="s">
        <v>573</v>
      </c>
      <c r="U279" s="316" t="s">
        <v>606</v>
      </c>
    </row>
    <row r="280" spans="1:21" s="257" customFormat="1" ht="150" hidden="1">
      <c r="A280" s="317" t="s">
        <v>607</v>
      </c>
      <c r="B280" s="314" t="s">
        <v>608</v>
      </c>
      <c r="C280" s="315" t="s">
        <v>22</v>
      </c>
      <c r="D280" s="318">
        <v>1</v>
      </c>
      <c r="E280" s="319">
        <f t="shared" si="31"/>
        <v>0</v>
      </c>
      <c r="F280" s="315" t="s">
        <v>82</v>
      </c>
      <c r="G280" s="315" t="s">
        <v>585</v>
      </c>
      <c r="H280" s="315" t="s">
        <v>609</v>
      </c>
      <c r="I280" s="315" t="s">
        <v>376</v>
      </c>
      <c r="J280" s="315" t="s">
        <v>60</v>
      </c>
      <c r="K280" s="141"/>
      <c r="L280" s="141"/>
      <c r="M280" s="141"/>
      <c r="N280" s="141"/>
      <c r="O280" s="141"/>
      <c r="P280" s="289" t="b">
        <f t="shared" si="30"/>
        <v>1</v>
      </c>
      <c r="Q280" s="316"/>
      <c r="R280" s="137" t="s">
        <v>61</v>
      </c>
      <c r="S280" s="316" t="s">
        <v>62</v>
      </c>
      <c r="T280" s="138" t="s">
        <v>610</v>
      </c>
      <c r="U280" s="323" t="s">
        <v>611</v>
      </c>
    </row>
    <row r="281" spans="1:21" s="257" customFormat="1" ht="150">
      <c r="A281" s="320"/>
      <c r="B281" s="314" t="s">
        <v>612</v>
      </c>
      <c r="C281" s="315" t="s">
        <v>22</v>
      </c>
      <c r="D281" s="324"/>
      <c r="E281" s="319">
        <f t="shared" si="31"/>
        <v>9900</v>
      </c>
      <c r="F281" s="315" t="s">
        <v>82</v>
      </c>
      <c r="G281" s="315" t="s">
        <v>605</v>
      </c>
      <c r="H281" s="315" t="s">
        <v>566</v>
      </c>
      <c r="I281" s="315" t="s">
        <v>392</v>
      </c>
      <c r="J281" s="315" t="s">
        <v>183</v>
      </c>
      <c r="K281" s="141"/>
      <c r="L281" s="141"/>
      <c r="M281" s="141"/>
      <c r="N281" s="141">
        <v>900</v>
      </c>
      <c r="O281" s="141">
        <v>9000</v>
      </c>
      <c r="P281" s="289" t="b">
        <f t="shared" si="30"/>
        <v>1</v>
      </c>
      <c r="Q281" s="316"/>
      <c r="R281" s="137" t="s">
        <v>61</v>
      </c>
      <c r="S281" s="316" t="s">
        <v>62</v>
      </c>
      <c r="T281" s="138" t="s">
        <v>610</v>
      </c>
      <c r="U281" s="323" t="s">
        <v>613</v>
      </c>
    </row>
    <row r="282" spans="1:21" s="257" customFormat="1" ht="150">
      <c r="A282" s="320"/>
      <c r="B282" s="314" t="s">
        <v>614</v>
      </c>
      <c r="C282" s="315" t="s">
        <v>22</v>
      </c>
      <c r="D282" s="324"/>
      <c r="E282" s="319">
        <f t="shared" si="31"/>
        <v>4100</v>
      </c>
      <c r="F282" s="315" t="s">
        <v>82</v>
      </c>
      <c r="G282" s="315" t="s">
        <v>605</v>
      </c>
      <c r="H282" s="315" t="s">
        <v>566</v>
      </c>
      <c r="I282" s="315" t="s">
        <v>392</v>
      </c>
      <c r="J282" s="315" t="s">
        <v>183</v>
      </c>
      <c r="K282" s="141"/>
      <c r="L282" s="141"/>
      <c r="M282" s="141"/>
      <c r="N282" s="141"/>
      <c r="O282" s="141">
        <v>4100</v>
      </c>
      <c r="P282" s="289" t="b">
        <f t="shared" si="30"/>
        <v>1</v>
      </c>
      <c r="Q282" s="316"/>
      <c r="R282" s="137" t="s">
        <v>61</v>
      </c>
      <c r="S282" s="316" t="s">
        <v>62</v>
      </c>
      <c r="T282" s="138" t="s">
        <v>610</v>
      </c>
      <c r="U282" s="323" t="s">
        <v>615</v>
      </c>
    </row>
    <row r="283" spans="1:21" s="257" customFormat="1" ht="150">
      <c r="A283" s="321"/>
      <c r="B283" s="314" t="s">
        <v>616</v>
      </c>
      <c r="C283" s="315" t="s">
        <v>22</v>
      </c>
      <c r="D283" s="322"/>
      <c r="E283" s="319">
        <f t="shared" si="31"/>
        <v>3800</v>
      </c>
      <c r="F283" s="315" t="s">
        <v>82</v>
      </c>
      <c r="G283" s="315" t="s">
        <v>605</v>
      </c>
      <c r="H283" s="315" t="s">
        <v>566</v>
      </c>
      <c r="I283" s="315" t="s">
        <v>392</v>
      </c>
      <c r="J283" s="315" t="s">
        <v>183</v>
      </c>
      <c r="K283" s="141"/>
      <c r="L283" s="141"/>
      <c r="M283" s="141"/>
      <c r="N283" s="141"/>
      <c r="O283" s="141">
        <v>3800</v>
      </c>
      <c r="P283" s="289" t="b">
        <f t="shared" si="30"/>
        <v>1</v>
      </c>
      <c r="Q283" s="316"/>
      <c r="R283" s="137" t="s">
        <v>61</v>
      </c>
      <c r="S283" s="316" t="s">
        <v>62</v>
      </c>
      <c r="T283" s="138" t="s">
        <v>610</v>
      </c>
      <c r="U283" s="323" t="s">
        <v>592</v>
      </c>
    </row>
    <row r="284" spans="1:21" s="257" customFormat="1" ht="150">
      <c r="A284" s="317" t="s">
        <v>617</v>
      </c>
      <c r="B284" s="325" t="s">
        <v>618</v>
      </c>
      <c r="C284" s="315" t="s">
        <v>22</v>
      </c>
      <c r="D284" s="318">
        <v>1</v>
      </c>
      <c r="E284" s="141">
        <f t="shared" si="31"/>
        <v>5500</v>
      </c>
      <c r="F284" s="315" t="s">
        <v>56</v>
      </c>
      <c r="G284" s="315" t="s">
        <v>619</v>
      </c>
      <c r="H284" s="315" t="s">
        <v>620</v>
      </c>
      <c r="I284" s="315" t="s">
        <v>386</v>
      </c>
      <c r="J284" s="315" t="s">
        <v>92</v>
      </c>
      <c r="K284" s="141"/>
      <c r="L284" s="141">
        <v>5500</v>
      </c>
      <c r="M284" s="141"/>
      <c r="N284" s="141"/>
      <c r="O284" s="141"/>
      <c r="P284" s="289" t="b">
        <f t="shared" si="30"/>
        <v>1</v>
      </c>
      <c r="Q284" s="316"/>
      <c r="R284" s="137" t="s">
        <v>61</v>
      </c>
      <c r="S284" s="316" t="s">
        <v>62</v>
      </c>
      <c r="T284" s="138" t="s">
        <v>621</v>
      </c>
      <c r="U284" s="323" t="s">
        <v>622</v>
      </c>
    </row>
    <row r="285" spans="1:21" s="257" customFormat="1" ht="34.5" customHeight="1">
      <c r="A285" s="321"/>
      <c r="B285" s="325" t="s">
        <v>623</v>
      </c>
      <c r="C285" s="315" t="s">
        <v>22</v>
      </c>
      <c r="D285" s="322"/>
      <c r="E285" s="141">
        <f t="shared" si="31"/>
        <v>3500</v>
      </c>
      <c r="F285" s="315" t="s">
        <v>56</v>
      </c>
      <c r="G285" s="315" t="s">
        <v>619</v>
      </c>
      <c r="H285" s="315" t="s">
        <v>620</v>
      </c>
      <c r="I285" s="315" t="s">
        <v>386</v>
      </c>
      <c r="J285" s="315" t="s">
        <v>92</v>
      </c>
      <c r="K285" s="141"/>
      <c r="L285" s="141">
        <v>3500</v>
      </c>
      <c r="M285" s="141"/>
      <c r="N285" s="141"/>
      <c r="O285" s="141"/>
      <c r="P285" s="289" t="b">
        <f t="shared" si="30"/>
        <v>1</v>
      </c>
      <c r="Q285" s="316"/>
      <c r="R285" s="137" t="s">
        <v>61</v>
      </c>
      <c r="S285" s="316" t="s">
        <v>62</v>
      </c>
      <c r="T285" s="138" t="s">
        <v>621</v>
      </c>
      <c r="U285" s="323" t="s">
        <v>624</v>
      </c>
    </row>
    <row r="286" spans="1:21" s="257" customFormat="1" ht="72.75" customHeight="1">
      <c r="A286" s="315" t="s">
        <v>625</v>
      </c>
      <c r="B286" s="314" t="s">
        <v>626</v>
      </c>
      <c r="C286" s="315" t="s">
        <v>22</v>
      </c>
      <c r="D286" s="143">
        <v>1</v>
      </c>
      <c r="E286" s="141">
        <f t="shared" si="31"/>
        <v>8000</v>
      </c>
      <c r="F286" s="315" t="s">
        <v>56</v>
      </c>
      <c r="G286" s="315" t="s">
        <v>619</v>
      </c>
      <c r="H286" s="315" t="s">
        <v>620</v>
      </c>
      <c r="I286" s="315" t="s">
        <v>386</v>
      </c>
      <c r="J286" s="315" t="s">
        <v>92</v>
      </c>
      <c r="K286" s="141"/>
      <c r="L286" s="141">
        <v>8000</v>
      </c>
      <c r="M286" s="141"/>
      <c r="N286" s="141"/>
      <c r="O286" s="141"/>
      <c r="P286" s="289" t="b">
        <f t="shared" si="30"/>
        <v>1</v>
      </c>
      <c r="Q286" s="316"/>
      <c r="R286" s="137" t="s">
        <v>61</v>
      </c>
      <c r="S286" s="316" t="s">
        <v>62</v>
      </c>
      <c r="T286" s="138" t="s">
        <v>627</v>
      </c>
      <c r="U286" s="316" t="s">
        <v>574</v>
      </c>
    </row>
    <row r="287" spans="1:21" s="257" customFormat="1" ht="68.25" customHeight="1">
      <c r="A287" s="317" t="s">
        <v>628</v>
      </c>
      <c r="B287" s="314" t="s">
        <v>629</v>
      </c>
      <c r="C287" s="315" t="s">
        <v>22</v>
      </c>
      <c r="D287" s="318">
        <v>1</v>
      </c>
      <c r="E287" s="319">
        <f t="shared" si="31"/>
        <v>14600</v>
      </c>
      <c r="F287" s="315" t="s">
        <v>82</v>
      </c>
      <c r="G287" s="315" t="s">
        <v>381</v>
      </c>
      <c r="H287" s="315" t="s">
        <v>566</v>
      </c>
      <c r="I287" s="315" t="s">
        <v>391</v>
      </c>
      <c r="J287" s="315" t="s">
        <v>183</v>
      </c>
      <c r="K287" s="141"/>
      <c r="L287" s="141"/>
      <c r="M287" s="141"/>
      <c r="N287" s="141">
        <v>600</v>
      </c>
      <c r="O287" s="141">
        <f>13000+1000</f>
        <v>14000</v>
      </c>
      <c r="P287" s="289" t="b">
        <f t="shared" si="30"/>
        <v>1</v>
      </c>
      <c r="Q287" s="316"/>
      <c r="R287" s="137" t="s">
        <v>61</v>
      </c>
      <c r="S287" s="316" t="s">
        <v>62</v>
      </c>
      <c r="T287" s="138" t="s">
        <v>630</v>
      </c>
      <c r="U287" s="316" t="s">
        <v>631</v>
      </c>
    </row>
    <row r="288" spans="1:21" s="257" customFormat="1" ht="45">
      <c r="A288" s="320"/>
      <c r="B288" s="314" t="s">
        <v>632</v>
      </c>
      <c r="C288" s="315" t="s">
        <v>22</v>
      </c>
      <c r="D288" s="324"/>
      <c r="E288" s="319">
        <f t="shared" si="31"/>
        <v>2000</v>
      </c>
      <c r="F288" s="315" t="s">
        <v>82</v>
      </c>
      <c r="G288" s="315" t="s">
        <v>386</v>
      </c>
      <c r="H288" s="315" t="s">
        <v>609</v>
      </c>
      <c r="I288" s="315" t="s">
        <v>391</v>
      </c>
      <c r="J288" s="315" t="s">
        <v>183</v>
      </c>
      <c r="K288" s="141"/>
      <c r="L288" s="141"/>
      <c r="M288" s="141"/>
      <c r="N288" s="141"/>
      <c r="O288" s="141">
        <v>2000</v>
      </c>
      <c r="P288" s="289" t="b">
        <f t="shared" si="30"/>
        <v>1</v>
      </c>
      <c r="Q288" s="316"/>
      <c r="R288" s="137" t="s">
        <v>61</v>
      </c>
      <c r="S288" s="316" t="s">
        <v>62</v>
      </c>
      <c r="T288" s="138" t="s">
        <v>633</v>
      </c>
      <c r="U288" s="316" t="s">
        <v>634</v>
      </c>
    </row>
    <row r="289" spans="1:21" s="257" customFormat="1" ht="45">
      <c r="A289" s="321"/>
      <c r="B289" s="314" t="s">
        <v>635</v>
      </c>
      <c r="C289" s="315" t="s">
        <v>22</v>
      </c>
      <c r="D289" s="322"/>
      <c r="E289" s="319">
        <f t="shared" si="31"/>
        <v>4000</v>
      </c>
      <c r="F289" s="315" t="s">
        <v>82</v>
      </c>
      <c r="G289" s="315" t="s">
        <v>386</v>
      </c>
      <c r="H289" s="315" t="s">
        <v>609</v>
      </c>
      <c r="I289" s="315" t="s">
        <v>391</v>
      </c>
      <c r="J289" s="315" t="s">
        <v>183</v>
      </c>
      <c r="K289" s="141"/>
      <c r="L289" s="141"/>
      <c r="M289" s="141"/>
      <c r="N289" s="141"/>
      <c r="O289" s="141">
        <v>4000</v>
      </c>
      <c r="P289" s="289" t="b">
        <f t="shared" si="30"/>
        <v>1</v>
      </c>
      <c r="Q289" s="316"/>
      <c r="R289" s="137" t="s">
        <v>61</v>
      </c>
      <c r="S289" s="316" t="s">
        <v>62</v>
      </c>
      <c r="T289" s="138" t="s">
        <v>630</v>
      </c>
      <c r="U289" s="316" t="s">
        <v>636</v>
      </c>
    </row>
    <row r="290" spans="1:21" s="257" customFormat="1" ht="60">
      <c r="A290" s="315" t="s">
        <v>625</v>
      </c>
      <c r="B290" s="325" t="s">
        <v>637</v>
      </c>
      <c r="C290" s="315" t="s">
        <v>22</v>
      </c>
      <c r="D290" s="143">
        <v>1</v>
      </c>
      <c r="E290" s="319">
        <f t="shared" si="31"/>
        <v>9592</v>
      </c>
      <c r="F290" s="315" t="s">
        <v>82</v>
      </c>
      <c r="G290" s="315" t="s">
        <v>381</v>
      </c>
      <c r="H290" s="315" t="s">
        <v>566</v>
      </c>
      <c r="I290" s="315" t="s">
        <v>391</v>
      </c>
      <c r="J290" s="315" t="s">
        <v>183</v>
      </c>
      <c r="K290" s="141"/>
      <c r="L290" s="141"/>
      <c r="M290" s="141"/>
      <c r="N290" s="141">
        <v>500</v>
      </c>
      <c r="O290" s="141">
        <f>8900+192</f>
        <v>9092</v>
      </c>
      <c r="P290" s="289" t="b">
        <f t="shared" si="30"/>
        <v>1</v>
      </c>
      <c r="Q290" s="316"/>
      <c r="R290" s="137" t="s">
        <v>61</v>
      </c>
      <c r="S290" s="316" t="s">
        <v>62</v>
      </c>
      <c r="T290" s="138" t="s">
        <v>63</v>
      </c>
      <c r="U290" s="316" t="s">
        <v>638</v>
      </c>
    </row>
    <row r="291" spans="1:21" s="257" customFormat="1" ht="60">
      <c r="A291" s="315"/>
      <c r="B291" s="325" t="s">
        <v>639</v>
      </c>
      <c r="C291" s="315" t="s">
        <v>22</v>
      </c>
      <c r="D291" s="143">
        <v>1</v>
      </c>
      <c r="E291" s="319">
        <f>K291+L291+M291+N291+O291</f>
        <v>8200</v>
      </c>
      <c r="F291" s="315" t="s">
        <v>82</v>
      </c>
      <c r="G291" s="315" t="s">
        <v>381</v>
      </c>
      <c r="H291" s="315" t="s">
        <v>566</v>
      </c>
      <c r="I291" s="315" t="s">
        <v>391</v>
      </c>
      <c r="J291" s="315" t="s">
        <v>183</v>
      </c>
      <c r="K291" s="141"/>
      <c r="L291" s="141"/>
      <c r="M291" s="141"/>
      <c r="N291" s="141">
        <v>400</v>
      </c>
      <c r="O291" s="141">
        <v>7800</v>
      </c>
      <c r="P291" s="289" t="b">
        <f t="shared" si="30"/>
        <v>1</v>
      </c>
      <c r="Q291" s="316"/>
      <c r="R291" s="137" t="s">
        <v>61</v>
      </c>
      <c r="S291" s="316" t="s">
        <v>62</v>
      </c>
      <c r="T291" s="316" t="s">
        <v>63</v>
      </c>
      <c r="U291" s="307" t="s">
        <v>580</v>
      </c>
    </row>
    <row r="292" spans="1:21" s="257" customFormat="1" ht="90">
      <c r="A292" s="315" t="s">
        <v>640</v>
      </c>
      <c r="B292" s="325" t="s">
        <v>641</v>
      </c>
      <c r="C292" s="315" t="s">
        <v>22</v>
      </c>
      <c r="D292" s="143">
        <v>1</v>
      </c>
      <c r="E292" s="319">
        <f t="shared" si="31"/>
        <v>450</v>
      </c>
      <c r="F292" s="315" t="s">
        <v>56</v>
      </c>
      <c r="G292" s="315" t="s">
        <v>409</v>
      </c>
      <c r="H292" s="315" t="s">
        <v>642</v>
      </c>
      <c r="I292" s="315" t="s">
        <v>386</v>
      </c>
      <c r="J292" s="315" t="s">
        <v>92</v>
      </c>
      <c r="K292" s="141"/>
      <c r="L292" s="141">
        <v>450</v>
      </c>
      <c r="M292" s="141"/>
      <c r="N292" s="141"/>
      <c r="O292" s="141"/>
      <c r="P292" s="289" t="b">
        <f t="shared" si="30"/>
        <v>1</v>
      </c>
      <c r="Q292" s="316"/>
      <c r="R292" s="137" t="s">
        <v>61</v>
      </c>
      <c r="S292" s="316" t="s">
        <v>62</v>
      </c>
      <c r="T292" s="138" t="s">
        <v>643</v>
      </c>
      <c r="U292" s="307" t="s">
        <v>644</v>
      </c>
    </row>
    <row r="293" spans="1:21" s="257" customFormat="1" ht="60">
      <c r="A293" s="317" t="s">
        <v>645</v>
      </c>
      <c r="B293" s="325" t="s">
        <v>646</v>
      </c>
      <c r="C293" s="315" t="s">
        <v>22</v>
      </c>
      <c r="D293" s="318">
        <v>1</v>
      </c>
      <c r="E293" s="319">
        <f t="shared" si="31"/>
        <v>13500</v>
      </c>
      <c r="F293" s="315" t="s">
        <v>82</v>
      </c>
      <c r="G293" s="315" t="s">
        <v>373</v>
      </c>
      <c r="H293" s="315" t="s">
        <v>576</v>
      </c>
      <c r="I293" s="315" t="s">
        <v>386</v>
      </c>
      <c r="J293" s="315" t="s">
        <v>92</v>
      </c>
      <c r="K293" s="141"/>
      <c r="L293" s="141">
        <v>13500</v>
      </c>
      <c r="M293" s="141"/>
      <c r="N293" s="141"/>
      <c r="O293" s="141"/>
      <c r="P293" s="289" t="b">
        <f t="shared" si="30"/>
        <v>1</v>
      </c>
      <c r="Q293" s="316"/>
      <c r="R293" s="137" t="s">
        <v>61</v>
      </c>
      <c r="S293" s="316" t="s">
        <v>62</v>
      </c>
      <c r="T293" s="138" t="s">
        <v>63</v>
      </c>
      <c r="U293" s="316" t="s">
        <v>580</v>
      </c>
    </row>
    <row r="294" spans="1:21" s="257" customFormat="1" ht="172.5" customHeight="1">
      <c r="A294" s="320"/>
      <c r="B294" s="325" t="s">
        <v>647</v>
      </c>
      <c r="C294" s="315" t="s">
        <v>22</v>
      </c>
      <c r="D294" s="324"/>
      <c r="E294" s="319">
        <f t="shared" si="31"/>
        <v>8850</v>
      </c>
      <c r="F294" s="315" t="s">
        <v>82</v>
      </c>
      <c r="G294" s="315" t="s">
        <v>375</v>
      </c>
      <c r="H294" s="315" t="s">
        <v>648</v>
      </c>
      <c r="I294" s="315" t="s">
        <v>381</v>
      </c>
      <c r="J294" s="315" t="s">
        <v>124</v>
      </c>
      <c r="K294" s="141"/>
      <c r="L294" s="141"/>
      <c r="M294" s="141">
        <v>350</v>
      </c>
      <c r="N294" s="141">
        <v>8500</v>
      </c>
      <c r="O294" s="141"/>
      <c r="P294" s="289" t="b">
        <f t="shared" si="30"/>
        <v>1</v>
      </c>
      <c r="Q294" s="316"/>
      <c r="R294" s="137" t="s">
        <v>61</v>
      </c>
      <c r="S294" s="316" t="s">
        <v>62</v>
      </c>
      <c r="T294" s="138" t="s">
        <v>649</v>
      </c>
      <c r="U294" s="316" t="s">
        <v>631</v>
      </c>
    </row>
    <row r="295" spans="1:21" s="257" customFormat="1" ht="73.5" customHeight="1">
      <c r="A295" s="326" t="s">
        <v>650</v>
      </c>
      <c r="B295" s="325" t="s">
        <v>651</v>
      </c>
      <c r="C295" s="326" t="s">
        <v>22</v>
      </c>
      <c r="D295" s="327">
        <v>1</v>
      </c>
      <c r="E295" s="328">
        <f t="shared" si="31"/>
        <v>5850</v>
      </c>
      <c r="F295" s="326" t="s">
        <v>82</v>
      </c>
      <c r="G295" s="326" t="s">
        <v>652</v>
      </c>
      <c r="H295" s="326" t="s">
        <v>648</v>
      </c>
      <c r="I295" s="326" t="s">
        <v>381</v>
      </c>
      <c r="J295" s="326" t="s">
        <v>124</v>
      </c>
      <c r="K295" s="329"/>
      <c r="L295" s="329"/>
      <c r="M295" s="329">
        <v>350</v>
      </c>
      <c r="N295" s="329">
        <v>5500</v>
      </c>
      <c r="O295" s="329"/>
      <c r="P295" s="289" t="b">
        <f t="shared" si="30"/>
        <v>1</v>
      </c>
      <c r="Q295" s="290"/>
      <c r="R295" s="137" t="s">
        <v>61</v>
      </c>
      <c r="S295" s="290" t="s">
        <v>62</v>
      </c>
      <c r="T295" s="138" t="s">
        <v>653</v>
      </c>
      <c r="U295" s="316" t="s">
        <v>654</v>
      </c>
    </row>
    <row r="296" spans="1:21" s="257" customFormat="1" ht="130.5" customHeight="1">
      <c r="A296" s="326" t="s">
        <v>655</v>
      </c>
      <c r="B296" s="325" t="s">
        <v>656</v>
      </c>
      <c r="C296" s="326" t="s">
        <v>22</v>
      </c>
      <c r="D296" s="327">
        <v>1</v>
      </c>
      <c r="E296" s="328">
        <f t="shared" si="31"/>
        <v>12250</v>
      </c>
      <c r="F296" s="326" t="s">
        <v>82</v>
      </c>
      <c r="G296" s="326" t="s">
        <v>657</v>
      </c>
      <c r="H296" s="326" t="s">
        <v>561</v>
      </c>
      <c r="I296" s="326" t="s">
        <v>381</v>
      </c>
      <c r="J296" s="326" t="s">
        <v>124</v>
      </c>
      <c r="K296" s="329"/>
      <c r="L296" s="329"/>
      <c r="M296" s="329">
        <v>250</v>
      </c>
      <c r="N296" s="329">
        <f>11000+1000</f>
        <v>12000</v>
      </c>
      <c r="O296" s="329"/>
      <c r="P296" s="289" t="b">
        <f t="shared" si="30"/>
        <v>1</v>
      </c>
      <c r="Q296" s="290"/>
      <c r="R296" s="137" t="s">
        <v>61</v>
      </c>
      <c r="S296" s="290" t="s">
        <v>62</v>
      </c>
      <c r="T296" s="138" t="s">
        <v>658</v>
      </c>
      <c r="U296" s="290" t="s">
        <v>631</v>
      </c>
    </row>
    <row r="297" spans="1:21" s="257" customFormat="1" ht="135">
      <c r="A297" s="326" t="s">
        <v>659</v>
      </c>
      <c r="B297" s="325" t="s">
        <v>660</v>
      </c>
      <c r="C297" s="326" t="s">
        <v>22</v>
      </c>
      <c r="D297" s="327">
        <v>1</v>
      </c>
      <c r="E297" s="328">
        <f t="shared" si="31"/>
        <v>1600</v>
      </c>
      <c r="F297" s="326" t="s">
        <v>56</v>
      </c>
      <c r="G297" s="326" t="s">
        <v>585</v>
      </c>
      <c r="H297" s="326" t="s">
        <v>661</v>
      </c>
      <c r="I297" s="326" t="s">
        <v>375</v>
      </c>
      <c r="J297" s="326" t="s">
        <v>60</v>
      </c>
      <c r="K297" s="329"/>
      <c r="L297" s="329">
        <v>600</v>
      </c>
      <c r="M297" s="329">
        <v>1000</v>
      </c>
      <c r="N297" s="329"/>
      <c r="O297" s="329"/>
      <c r="P297" s="289" t="b">
        <f t="shared" si="30"/>
        <v>1</v>
      </c>
      <c r="Q297" s="290"/>
      <c r="R297" s="137" t="s">
        <v>61</v>
      </c>
      <c r="S297" s="290" t="s">
        <v>62</v>
      </c>
      <c r="T297" s="330" t="s">
        <v>662</v>
      </c>
      <c r="U297" s="331" t="s">
        <v>663</v>
      </c>
    </row>
    <row r="298" spans="1:21" s="257" customFormat="1" ht="150">
      <c r="A298" s="326" t="s">
        <v>617</v>
      </c>
      <c r="B298" s="325" t="s">
        <v>664</v>
      </c>
      <c r="C298" s="326" t="s">
        <v>22</v>
      </c>
      <c r="D298" s="327">
        <v>1</v>
      </c>
      <c r="E298" s="328">
        <f t="shared" si="31"/>
        <v>2200</v>
      </c>
      <c r="F298" s="326" t="s">
        <v>56</v>
      </c>
      <c r="G298" s="326" t="s">
        <v>605</v>
      </c>
      <c r="H298" s="326" t="s">
        <v>665</v>
      </c>
      <c r="I298" s="326" t="s">
        <v>391</v>
      </c>
      <c r="J298" s="326" t="s">
        <v>183</v>
      </c>
      <c r="K298" s="329"/>
      <c r="L298" s="329"/>
      <c r="M298" s="329"/>
      <c r="N298" s="329">
        <v>200</v>
      </c>
      <c r="O298" s="329">
        <v>2000</v>
      </c>
      <c r="P298" s="289" t="b">
        <f t="shared" si="30"/>
        <v>1</v>
      </c>
      <c r="Q298" s="290"/>
      <c r="R298" s="137" t="s">
        <v>61</v>
      </c>
      <c r="S298" s="290" t="s">
        <v>62</v>
      </c>
      <c r="T298" s="330" t="s">
        <v>666</v>
      </c>
      <c r="U298" s="290" t="s">
        <v>667</v>
      </c>
    </row>
    <row r="299" spans="1:21" s="257" customFormat="1" ht="150">
      <c r="A299" s="332"/>
      <c r="B299" s="325" t="s">
        <v>668</v>
      </c>
      <c r="C299" s="326" t="s">
        <v>22</v>
      </c>
      <c r="D299" s="333"/>
      <c r="E299" s="328">
        <f t="shared" si="31"/>
        <v>8500</v>
      </c>
      <c r="F299" s="326" t="s">
        <v>82</v>
      </c>
      <c r="G299" s="326" t="s">
        <v>605</v>
      </c>
      <c r="H299" s="326" t="s">
        <v>665</v>
      </c>
      <c r="I299" s="326" t="s">
        <v>391</v>
      </c>
      <c r="J299" s="326" t="s">
        <v>183</v>
      </c>
      <c r="K299" s="329"/>
      <c r="L299" s="329"/>
      <c r="M299" s="329"/>
      <c r="N299" s="329">
        <v>500</v>
      </c>
      <c r="O299" s="329">
        <v>8000</v>
      </c>
      <c r="P299" s="289" t="b">
        <f t="shared" si="30"/>
        <v>1</v>
      </c>
      <c r="Q299" s="290"/>
      <c r="R299" s="137" t="s">
        <v>61</v>
      </c>
      <c r="S299" s="290" t="s">
        <v>62</v>
      </c>
      <c r="T299" s="138" t="s">
        <v>552</v>
      </c>
      <c r="U299" s="290" t="s">
        <v>631</v>
      </c>
    </row>
    <row r="300" spans="1:21" s="257" customFormat="1" ht="51" customHeight="1">
      <c r="A300" s="334"/>
      <c r="B300" s="325" t="s">
        <v>669</v>
      </c>
      <c r="C300" s="326" t="s">
        <v>22</v>
      </c>
      <c r="D300" s="335"/>
      <c r="E300" s="328">
        <f t="shared" si="31"/>
        <v>5000</v>
      </c>
      <c r="F300" s="326" t="s">
        <v>82</v>
      </c>
      <c r="G300" s="326" t="s">
        <v>605</v>
      </c>
      <c r="H300" s="326" t="s">
        <v>665</v>
      </c>
      <c r="I300" s="326" t="s">
        <v>391</v>
      </c>
      <c r="J300" s="326" t="s">
        <v>183</v>
      </c>
      <c r="K300" s="329"/>
      <c r="L300" s="329"/>
      <c r="M300" s="329"/>
      <c r="N300" s="329"/>
      <c r="O300" s="329">
        <v>5000</v>
      </c>
      <c r="P300" s="289" t="b">
        <f t="shared" si="30"/>
        <v>1</v>
      </c>
      <c r="Q300" s="290"/>
      <c r="R300" s="137" t="s">
        <v>61</v>
      </c>
      <c r="S300" s="290" t="s">
        <v>62</v>
      </c>
      <c r="T300" s="138" t="s">
        <v>552</v>
      </c>
      <c r="U300" s="290" t="s">
        <v>634</v>
      </c>
    </row>
    <row r="301" spans="1:21" s="240" customFormat="1" ht="90">
      <c r="A301" s="294" t="s">
        <v>670</v>
      </c>
      <c r="B301" s="325" t="s">
        <v>671</v>
      </c>
      <c r="C301" s="315" t="s">
        <v>22</v>
      </c>
      <c r="D301" s="143">
        <v>1</v>
      </c>
      <c r="E301" s="319">
        <f t="shared" si="31"/>
        <v>2820</v>
      </c>
      <c r="F301" s="315" t="s">
        <v>82</v>
      </c>
      <c r="G301" s="315" t="s">
        <v>652</v>
      </c>
      <c r="H301" s="315" t="s">
        <v>648</v>
      </c>
      <c r="I301" s="315" t="s">
        <v>381</v>
      </c>
      <c r="J301" s="315" t="s">
        <v>124</v>
      </c>
      <c r="K301" s="141"/>
      <c r="L301" s="141"/>
      <c r="M301" s="141">
        <v>320</v>
      </c>
      <c r="N301" s="141">
        <v>2500</v>
      </c>
      <c r="O301" s="141"/>
      <c r="P301" s="289" t="b">
        <f t="shared" si="30"/>
        <v>1</v>
      </c>
      <c r="Q301" s="316"/>
      <c r="R301" s="137" t="s">
        <v>61</v>
      </c>
      <c r="S301" s="316" t="s">
        <v>62</v>
      </c>
      <c r="T301" s="336" t="s">
        <v>672</v>
      </c>
      <c r="U301" s="316" t="s">
        <v>673</v>
      </c>
    </row>
    <row r="302" spans="1:21" s="257" customFormat="1" ht="18" customHeight="1">
      <c r="A302" s="337" t="s">
        <v>674</v>
      </c>
      <c r="B302" s="338" t="s">
        <v>24</v>
      </c>
      <c r="C302" s="337"/>
      <c r="D302" s="337">
        <f t="shared" ref="D302:E302" si="32">D303+D304+D305+D306+D307</f>
        <v>4</v>
      </c>
      <c r="E302" s="339">
        <f t="shared" si="32"/>
        <v>28553.599999999999</v>
      </c>
      <c r="F302" s="337"/>
      <c r="G302" s="337"/>
      <c r="H302" s="337"/>
      <c r="I302" s="337"/>
      <c r="J302" s="337"/>
      <c r="K302" s="339">
        <f>K303+K304+K305+K306+K307</f>
        <v>3953.6</v>
      </c>
      <c r="L302" s="339">
        <f t="shared" ref="L302:O302" si="33">L303+L304+L305+L306+L307</f>
        <v>300</v>
      </c>
      <c r="M302" s="339">
        <f t="shared" si="33"/>
        <v>9000</v>
      </c>
      <c r="N302" s="339">
        <f t="shared" si="33"/>
        <v>300</v>
      </c>
      <c r="O302" s="339">
        <f t="shared" si="33"/>
        <v>15000</v>
      </c>
      <c r="P302" s="289" t="b">
        <f t="shared" si="30"/>
        <v>1</v>
      </c>
      <c r="Q302" s="290"/>
      <c r="R302" s="137"/>
      <c r="S302" s="290" t="s">
        <v>62</v>
      </c>
      <c r="T302" s="138"/>
      <c r="U302" s="290"/>
    </row>
    <row r="303" spans="1:21" s="240" customFormat="1" ht="159.75" customHeight="1">
      <c r="A303" s="326" t="s">
        <v>675</v>
      </c>
      <c r="B303" s="325" t="s">
        <v>676</v>
      </c>
      <c r="C303" s="326" t="s">
        <v>22</v>
      </c>
      <c r="D303" s="327">
        <v>1</v>
      </c>
      <c r="E303" s="329">
        <f>K303+L303+M303+N303+O303</f>
        <v>3953.6</v>
      </c>
      <c r="F303" s="326" t="s">
        <v>56</v>
      </c>
      <c r="G303" s="326" t="s">
        <v>409</v>
      </c>
      <c r="H303" s="326" t="s">
        <v>642</v>
      </c>
      <c r="I303" s="326" t="s">
        <v>373</v>
      </c>
      <c r="J303" s="326" t="s">
        <v>98</v>
      </c>
      <c r="K303" s="329">
        <v>3953.6</v>
      </c>
      <c r="L303" s="329"/>
      <c r="M303" s="329"/>
      <c r="N303" s="329"/>
      <c r="O303" s="329"/>
      <c r="P303" s="289" t="b">
        <f t="shared" si="30"/>
        <v>1</v>
      </c>
      <c r="Q303" s="290"/>
      <c r="R303" s="137" t="s">
        <v>61</v>
      </c>
      <c r="S303" s="290" t="s">
        <v>62</v>
      </c>
      <c r="T303" s="138" t="s">
        <v>677</v>
      </c>
      <c r="U303" s="290" t="s">
        <v>678</v>
      </c>
    </row>
    <row r="304" spans="1:21" s="240" customFormat="1" ht="155.25" customHeight="1">
      <c r="A304" s="340" t="s">
        <v>144</v>
      </c>
      <c r="B304" s="325" t="s">
        <v>679</v>
      </c>
      <c r="C304" s="326" t="s">
        <v>22</v>
      </c>
      <c r="D304" s="341">
        <v>1</v>
      </c>
      <c r="E304" s="329">
        <f>K304+L304+M304+N304+O304</f>
        <v>4300</v>
      </c>
      <c r="F304" s="326" t="s">
        <v>82</v>
      </c>
      <c r="G304" s="326" t="s">
        <v>680</v>
      </c>
      <c r="H304" s="326" t="s">
        <v>566</v>
      </c>
      <c r="I304" s="326" t="s">
        <v>391</v>
      </c>
      <c r="J304" s="326" t="s">
        <v>183</v>
      </c>
      <c r="K304" s="329"/>
      <c r="L304" s="329"/>
      <c r="M304" s="329"/>
      <c r="N304" s="329">
        <v>300</v>
      </c>
      <c r="O304" s="329">
        <v>4000</v>
      </c>
      <c r="P304" s="289" t="b">
        <f t="shared" si="30"/>
        <v>1</v>
      </c>
      <c r="Q304" s="290"/>
      <c r="R304" s="137" t="s">
        <v>61</v>
      </c>
      <c r="S304" s="290" t="s">
        <v>62</v>
      </c>
      <c r="T304" s="138" t="s">
        <v>681</v>
      </c>
      <c r="U304" s="290" t="s">
        <v>682</v>
      </c>
    </row>
    <row r="305" spans="1:21" s="240" customFormat="1" ht="150">
      <c r="A305" s="334"/>
      <c r="B305" s="325" t="s">
        <v>683</v>
      </c>
      <c r="C305" s="326" t="s">
        <v>22</v>
      </c>
      <c r="D305" s="335"/>
      <c r="E305" s="329">
        <f>K305+L305+M305+N305+O305</f>
        <v>5000</v>
      </c>
      <c r="F305" s="326" t="s">
        <v>82</v>
      </c>
      <c r="G305" s="326" t="s">
        <v>680</v>
      </c>
      <c r="H305" s="326" t="s">
        <v>566</v>
      </c>
      <c r="I305" s="326" t="s">
        <v>391</v>
      </c>
      <c r="J305" s="326" t="s">
        <v>183</v>
      </c>
      <c r="K305" s="329"/>
      <c r="L305" s="329"/>
      <c r="M305" s="329"/>
      <c r="N305" s="329"/>
      <c r="O305" s="329">
        <v>5000</v>
      </c>
      <c r="P305" s="289" t="b">
        <f t="shared" si="30"/>
        <v>1</v>
      </c>
      <c r="Q305" s="290"/>
      <c r="R305" s="137" t="s">
        <v>61</v>
      </c>
      <c r="S305" s="290" t="s">
        <v>62</v>
      </c>
      <c r="T305" s="138" t="s">
        <v>681</v>
      </c>
      <c r="U305" s="290" t="s">
        <v>684</v>
      </c>
    </row>
    <row r="306" spans="1:21" s="240" customFormat="1" ht="63">
      <c r="A306" s="342" t="s">
        <v>685</v>
      </c>
      <c r="B306" s="325" t="s">
        <v>686</v>
      </c>
      <c r="C306" s="294" t="s">
        <v>22</v>
      </c>
      <c r="D306" s="343">
        <v>1</v>
      </c>
      <c r="E306" s="48">
        <f>K306+L306+M306+N306+O306</f>
        <v>9300</v>
      </c>
      <c r="F306" s="294" t="s">
        <v>56</v>
      </c>
      <c r="G306" s="294" t="s">
        <v>585</v>
      </c>
      <c r="H306" s="294" t="s">
        <v>661</v>
      </c>
      <c r="I306" s="294" t="s">
        <v>375</v>
      </c>
      <c r="J306" s="294" t="s">
        <v>60</v>
      </c>
      <c r="K306" s="48"/>
      <c r="L306" s="48">
        <v>300</v>
      </c>
      <c r="M306" s="48">
        <v>9000</v>
      </c>
      <c r="N306" s="48"/>
      <c r="O306" s="48"/>
      <c r="P306" s="289" t="b">
        <f t="shared" si="30"/>
        <v>1</v>
      </c>
      <c r="Q306" s="307"/>
      <c r="R306" s="24" t="s">
        <v>61</v>
      </c>
      <c r="S306" s="307" t="s">
        <v>62</v>
      </c>
      <c r="T306" s="344" t="s">
        <v>63</v>
      </c>
      <c r="U306" s="307" t="s">
        <v>580</v>
      </c>
    </row>
    <row r="307" spans="1:21" s="240" customFormat="1" ht="173.25">
      <c r="A307" s="345"/>
      <c r="B307" s="293" t="s">
        <v>687</v>
      </c>
      <c r="C307" s="294" t="s">
        <v>22</v>
      </c>
      <c r="D307" s="343">
        <v>1</v>
      </c>
      <c r="E307" s="48">
        <f>K307+L307+M307+N307+O307</f>
        <v>6000</v>
      </c>
      <c r="F307" s="294" t="s">
        <v>56</v>
      </c>
      <c r="G307" s="294" t="s">
        <v>585</v>
      </c>
      <c r="H307" s="294" t="s">
        <v>661</v>
      </c>
      <c r="I307" s="294" t="s">
        <v>391</v>
      </c>
      <c r="J307" s="294" t="s">
        <v>183</v>
      </c>
      <c r="K307" s="48"/>
      <c r="L307" s="48"/>
      <c r="M307" s="48"/>
      <c r="N307" s="48"/>
      <c r="O307" s="48">
        <v>6000</v>
      </c>
      <c r="P307" s="289" t="b">
        <f t="shared" si="30"/>
        <v>1</v>
      </c>
      <c r="Q307" s="307"/>
      <c r="R307" s="24" t="s">
        <v>61</v>
      </c>
      <c r="S307" s="307" t="s">
        <v>62</v>
      </c>
      <c r="T307" s="346" t="s">
        <v>688</v>
      </c>
      <c r="U307" s="307" t="s">
        <v>636</v>
      </c>
    </row>
    <row r="308" spans="1:21" ht="18.75">
      <c r="A308" s="326" t="s">
        <v>34</v>
      </c>
      <c r="B308" s="347" t="s">
        <v>35</v>
      </c>
      <c r="C308" s="337"/>
      <c r="D308" s="348">
        <f>D309</f>
        <v>0.15</v>
      </c>
      <c r="E308" s="339">
        <f>E309</f>
        <v>630</v>
      </c>
      <c r="F308" s="339"/>
      <c r="G308" s="339"/>
      <c r="H308" s="339"/>
      <c r="I308" s="339"/>
      <c r="J308" s="339"/>
      <c r="K308" s="339">
        <f>K309</f>
        <v>0</v>
      </c>
      <c r="L308" s="339">
        <f>L309</f>
        <v>630</v>
      </c>
      <c r="M308" s="339">
        <f>M309</f>
        <v>0</v>
      </c>
      <c r="N308" s="339">
        <f>N309</f>
        <v>0</v>
      </c>
      <c r="O308" s="339">
        <f>O309</f>
        <v>0</v>
      </c>
      <c r="P308" s="289" t="b">
        <f t="shared" si="30"/>
        <v>1</v>
      </c>
      <c r="Q308" s="290"/>
      <c r="R308" s="291"/>
      <c r="S308" s="290" t="s">
        <v>62</v>
      </c>
      <c r="T308" s="292" t="s">
        <v>689</v>
      </c>
      <c r="U308" s="290"/>
    </row>
    <row r="309" spans="1:21" s="86" customFormat="1" ht="60.75" customHeight="1">
      <c r="A309" s="326" t="s">
        <v>690</v>
      </c>
      <c r="B309" s="347" t="s">
        <v>691</v>
      </c>
      <c r="C309" s="326" t="s">
        <v>27</v>
      </c>
      <c r="D309" s="327">
        <v>0.15</v>
      </c>
      <c r="E309" s="329">
        <f>K309+L309+M309+N309+O309</f>
        <v>630</v>
      </c>
      <c r="F309" s="326" t="s">
        <v>82</v>
      </c>
      <c r="G309" s="326" t="s">
        <v>373</v>
      </c>
      <c r="H309" s="326" t="s">
        <v>692</v>
      </c>
      <c r="I309" s="326" t="s">
        <v>585</v>
      </c>
      <c r="J309" s="326" t="s">
        <v>92</v>
      </c>
      <c r="K309" s="329"/>
      <c r="L309" s="329">
        <v>630</v>
      </c>
      <c r="M309" s="329"/>
      <c r="N309" s="329"/>
      <c r="O309" s="329"/>
      <c r="P309" s="289" t="b">
        <f t="shared" si="30"/>
        <v>1</v>
      </c>
      <c r="Q309" s="290"/>
      <c r="R309" s="137" t="s">
        <v>61</v>
      </c>
      <c r="S309" s="290" t="s">
        <v>543</v>
      </c>
      <c r="T309" s="138" t="s">
        <v>63</v>
      </c>
      <c r="U309" s="290" t="s">
        <v>693</v>
      </c>
    </row>
    <row r="310" spans="1:21" s="86" customFormat="1" ht="54.75" customHeight="1">
      <c r="A310" s="337" t="s">
        <v>36</v>
      </c>
      <c r="B310" s="338" t="s">
        <v>29</v>
      </c>
      <c r="C310" s="337"/>
      <c r="D310" s="337"/>
      <c r="E310" s="339"/>
      <c r="F310" s="337"/>
      <c r="G310" s="337"/>
      <c r="H310" s="337"/>
      <c r="I310" s="337"/>
      <c r="J310" s="337"/>
      <c r="K310" s="339"/>
      <c r="L310" s="339"/>
      <c r="M310" s="339"/>
      <c r="N310" s="339"/>
      <c r="O310" s="339"/>
      <c r="P310" s="289" t="b">
        <f t="shared" si="30"/>
        <v>1</v>
      </c>
      <c r="Q310" s="349"/>
      <c r="R310" s="132" t="s">
        <v>61</v>
      </c>
      <c r="S310" s="290" t="s">
        <v>543</v>
      </c>
      <c r="T310" s="292"/>
      <c r="U310" s="290"/>
    </row>
    <row r="311" spans="1:21" s="86" customFormat="1" ht="70.5" customHeight="1">
      <c r="A311" s="286" t="s">
        <v>37</v>
      </c>
      <c r="B311" s="287" t="s">
        <v>38</v>
      </c>
      <c r="C311" s="286"/>
      <c r="D311" s="286">
        <f>D312</f>
        <v>0</v>
      </c>
      <c r="E311" s="46">
        <f>E312</f>
        <v>10000</v>
      </c>
      <c r="F311" s="46"/>
      <c r="G311" s="46"/>
      <c r="H311" s="46"/>
      <c r="I311" s="46"/>
      <c r="J311" s="46"/>
      <c r="K311" s="46">
        <f>K312</f>
        <v>0</v>
      </c>
      <c r="L311" s="46">
        <f>L312</f>
        <v>10000</v>
      </c>
      <c r="M311" s="46">
        <f>M312</f>
        <v>0</v>
      </c>
      <c r="N311" s="46">
        <f>N312</f>
        <v>0</v>
      </c>
      <c r="O311" s="46">
        <f>O312</f>
        <v>0</v>
      </c>
      <c r="P311" s="289" t="b">
        <f t="shared" si="30"/>
        <v>1</v>
      </c>
      <c r="Q311" s="307"/>
      <c r="R311" s="308"/>
      <c r="S311" s="307"/>
      <c r="T311" s="309"/>
      <c r="U311" s="307"/>
    </row>
    <row r="312" spans="1:21" s="63" customFormat="1" ht="70.5" customHeight="1">
      <c r="A312" s="326" t="s">
        <v>694</v>
      </c>
      <c r="B312" s="347" t="s">
        <v>695</v>
      </c>
      <c r="C312" s="326"/>
      <c r="D312" s="326"/>
      <c r="E312" s="329">
        <f>K312+L312+M312+N312+O312</f>
        <v>10000</v>
      </c>
      <c r="F312" s="326" t="s">
        <v>56</v>
      </c>
      <c r="G312" s="326" t="s">
        <v>696</v>
      </c>
      <c r="H312" s="326" t="s">
        <v>551</v>
      </c>
      <c r="I312" s="326" t="s">
        <v>386</v>
      </c>
      <c r="J312" s="326" t="s">
        <v>92</v>
      </c>
      <c r="K312" s="329"/>
      <c r="L312" s="329">
        <v>10000</v>
      </c>
      <c r="M312" s="329"/>
      <c r="N312" s="329"/>
      <c r="O312" s="329"/>
      <c r="P312" s="289" t="b">
        <f t="shared" si="30"/>
        <v>1</v>
      </c>
      <c r="Q312" s="290"/>
      <c r="R312" s="137" t="s">
        <v>61</v>
      </c>
      <c r="S312" s="290" t="s">
        <v>543</v>
      </c>
      <c r="T312" s="138" t="s">
        <v>63</v>
      </c>
      <c r="U312" s="307" t="s">
        <v>697</v>
      </c>
    </row>
    <row r="313" spans="1:21" s="86" customFormat="1" ht="48.75" customHeight="1">
      <c r="A313" s="286" t="s">
        <v>39</v>
      </c>
      <c r="B313" s="287" t="s">
        <v>40</v>
      </c>
      <c r="C313" s="286"/>
      <c r="D313" s="286">
        <f>D314+D317</f>
        <v>92</v>
      </c>
      <c r="E313" s="286">
        <f>E314+E317</f>
        <v>177034.38</v>
      </c>
      <c r="F313" s="286"/>
      <c r="G313" s="286"/>
      <c r="H313" s="286"/>
      <c r="I313" s="286"/>
      <c r="J313" s="286"/>
      <c r="K313" s="286">
        <f>K314+K317</f>
        <v>33134.379999999997</v>
      </c>
      <c r="L313" s="286">
        <f>L314+L317</f>
        <v>23700</v>
      </c>
      <c r="M313" s="286">
        <f>M314+M317</f>
        <v>35300</v>
      </c>
      <c r="N313" s="286">
        <f>N314+N317</f>
        <v>39300</v>
      </c>
      <c r="O313" s="286">
        <f>O314+O317</f>
        <v>45600</v>
      </c>
      <c r="P313" s="289" t="b">
        <f t="shared" si="30"/>
        <v>1</v>
      </c>
      <c r="Q313" s="307"/>
      <c r="R313" s="308"/>
      <c r="S313" s="307"/>
      <c r="T313" s="309"/>
      <c r="U313" s="307"/>
    </row>
    <row r="314" spans="1:21" s="86" customFormat="1" ht="72.75" customHeight="1">
      <c r="A314" s="326" t="s">
        <v>41</v>
      </c>
      <c r="B314" s="338" t="s">
        <v>42</v>
      </c>
      <c r="C314" s="326" t="s">
        <v>22</v>
      </c>
      <c r="D314" s="329">
        <v>35</v>
      </c>
      <c r="E314" s="329">
        <f t="shared" ref="E314:E317" si="34">K314+L314+M314+N314+O314</f>
        <v>122826.62</v>
      </c>
      <c r="F314" s="329"/>
      <c r="G314" s="329"/>
      <c r="H314" s="329"/>
      <c r="I314" s="329"/>
      <c r="J314" s="329"/>
      <c r="K314" s="329">
        <v>32126.62</v>
      </c>
      <c r="L314" s="329">
        <v>15400</v>
      </c>
      <c r="M314" s="329">
        <v>21900</v>
      </c>
      <c r="N314" s="329">
        <v>15000</v>
      </c>
      <c r="O314" s="329">
        <v>38400</v>
      </c>
      <c r="P314" s="289" t="b">
        <f t="shared" si="30"/>
        <v>1</v>
      </c>
      <c r="Q314" s="290"/>
      <c r="R314" s="137" t="s">
        <v>61</v>
      </c>
      <c r="S314" s="290" t="s">
        <v>62</v>
      </c>
      <c r="U314" s="290"/>
    </row>
    <row r="315" spans="1:21" s="86" customFormat="1" ht="57" customHeight="1">
      <c r="A315" s="326" t="s">
        <v>698</v>
      </c>
      <c r="B315" s="137" t="s">
        <v>699</v>
      </c>
      <c r="C315" s="326"/>
      <c r="D315" s="329"/>
      <c r="E315" s="329">
        <f t="shared" si="34"/>
        <v>9258.02</v>
      </c>
      <c r="F315" s="329"/>
      <c r="G315" s="326" t="s">
        <v>700</v>
      </c>
      <c r="H315" s="326" t="s">
        <v>572</v>
      </c>
      <c r="I315" s="326" t="s">
        <v>373</v>
      </c>
      <c r="J315" s="326" t="s">
        <v>98</v>
      </c>
      <c r="K315" s="142">
        <v>9258.02</v>
      </c>
      <c r="L315" s="329"/>
      <c r="M315" s="329"/>
      <c r="N315" s="329"/>
      <c r="O315" s="329"/>
      <c r="P315" s="289" t="b">
        <f t="shared" si="30"/>
        <v>1</v>
      </c>
      <c r="Q315" s="290"/>
      <c r="R315" s="137" t="s">
        <v>61</v>
      </c>
      <c r="S315" s="290" t="s">
        <v>701</v>
      </c>
      <c r="T315" s="138" t="s">
        <v>63</v>
      </c>
      <c r="U315" s="290"/>
    </row>
    <row r="316" spans="1:21" s="86" customFormat="1" ht="41.25" customHeight="1">
      <c r="A316" s="326"/>
      <c r="B316" s="137" t="s">
        <v>702</v>
      </c>
      <c r="C316" s="326"/>
      <c r="D316" s="329"/>
      <c r="E316" s="329">
        <f>K316+L316+M316+N316+O316</f>
        <v>22868.98</v>
      </c>
      <c r="F316" s="329"/>
      <c r="G316" s="326"/>
      <c r="H316" s="326"/>
      <c r="I316" s="326"/>
      <c r="J316" s="326"/>
      <c r="K316" s="350">
        <v>22868.98</v>
      </c>
      <c r="L316" s="351"/>
      <c r="M316" s="351"/>
      <c r="N316" s="351"/>
      <c r="O316" s="351"/>
      <c r="P316" s="289" t="b">
        <f t="shared" ref="P316:P324" si="35">E316=K316+L316+M316+N316+O316</f>
        <v>1</v>
      </c>
      <c r="Q316" s="290"/>
      <c r="R316" s="137"/>
      <c r="S316" s="290"/>
      <c r="T316" s="138"/>
      <c r="U316" s="290"/>
    </row>
    <row r="317" spans="1:21" s="86" customFormat="1" ht="43.5" customHeight="1">
      <c r="A317" s="326" t="s">
        <v>43</v>
      </c>
      <c r="B317" s="338" t="s">
        <v>44</v>
      </c>
      <c r="C317" s="326" t="s">
        <v>27</v>
      </c>
      <c r="D317" s="329">
        <v>57</v>
      </c>
      <c r="E317" s="329">
        <f t="shared" si="34"/>
        <v>54207.76</v>
      </c>
      <c r="F317" s="329"/>
      <c r="G317" s="329"/>
      <c r="H317" s="329"/>
      <c r="I317" s="329"/>
      <c r="J317" s="329"/>
      <c r="K317" s="329">
        <v>1007.76</v>
      </c>
      <c r="L317" s="329">
        <v>8300</v>
      </c>
      <c r="M317" s="329">
        <v>13400</v>
      </c>
      <c r="N317" s="329">
        <v>24300</v>
      </c>
      <c r="O317" s="329">
        <v>7200</v>
      </c>
      <c r="P317" s="289" t="b">
        <f t="shared" si="35"/>
        <v>1</v>
      </c>
      <c r="Q317" s="290"/>
      <c r="R317" s="137" t="s">
        <v>61</v>
      </c>
      <c r="S317" s="290" t="s">
        <v>62</v>
      </c>
      <c r="T317" s="138" t="s">
        <v>63</v>
      </c>
      <c r="U317" s="290"/>
    </row>
    <row r="318" spans="1:21" s="86" customFormat="1" ht="47.25">
      <c r="A318" s="286" t="s">
        <v>703</v>
      </c>
      <c r="B318" s="287" t="s">
        <v>45</v>
      </c>
      <c r="C318" s="286" t="s">
        <v>536</v>
      </c>
      <c r="D318" s="46">
        <v>6</v>
      </c>
      <c r="E318" s="46">
        <f>K318+L318+M318+N318+O318</f>
        <v>29872</v>
      </c>
      <c r="F318" s="286"/>
      <c r="G318" s="286"/>
      <c r="H318" s="286"/>
      <c r="I318" s="286"/>
      <c r="J318" s="286"/>
      <c r="K318" s="46">
        <v>21872</v>
      </c>
      <c r="L318" s="46">
        <v>2000</v>
      </c>
      <c r="M318" s="46">
        <v>2000</v>
      </c>
      <c r="N318" s="46">
        <v>2000</v>
      </c>
      <c r="O318" s="46">
        <v>2000</v>
      </c>
      <c r="P318" s="289" t="b">
        <f t="shared" si="35"/>
        <v>1</v>
      </c>
      <c r="Q318" s="307"/>
      <c r="R318" s="307" t="s">
        <v>61</v>
      </c>
      <c r="S318" s="307"/>
      <c r="T318" s="309"/>
      <c r="U318" s="307"/>
    </row>
    <row r="319" spans="1:21" s="63" customFormat="1" ht="78.75">
      <c r="A319" s="286" t="s">
        <v>704</v>
      </c>
      <c r="B319" s="287" t="s">
        <v>46</v>
      </c>
      <c r="C319" s="286" t="s">
        <v>22</v>
      </c>
      <c r="D319" s="286" t="s">
        <v>703</v>
      </c>
      <c r="E319" s="46">
        <f>K319+L319+M319+N319+O319</f>
        <v>34446</v>
      </c>
      <c r="F319" s="286"/>
      <c r="G319" s="286"/>
      <c r="H319" s="286"/>
      <c r="I319" s="286"/>
      <c r="J319" s="286"/>
      <c r="K319" s="46">
        <v>0</v>
      </c>
      <c r="L319" s="46">
        <v>0</v>
      </c>
      <c r="M319" s="46">
        <v>10690</v>
      </c>
      <c r="N319" s="46">
        <v>13487</v>
      </c>
      <c r="O319" s="46">
        <v>10269</v>
      </c>
      <c r="P319" s="289" t="b">
        <f t="shared" si="35"/>
        <v>1</v>
      </c>
      <c r="Q319" s="307"/>
      <c r="R319" s="24" t="s">
        <v>365</v>
      </c>
      <c r="S319" s="307"/>
      <c r="T319" s="309"/>
      <c r="U319" s="307"/>
    </row>
    <row r="320" spans="1:21" s="86" customFormat="1" ht="18.75">
      <c r="A320" s="286" t="s">
        <v>705</v>
      </c>
      <c r="B320" s="287" t="s">
        <v>47</v>
      </c>
      <c r="C320" s="286" t="s">
        <v>22</v>
      </c>
      <c r="D320" s="288">
        <v>194</v>
      </c>
      <c r="E320" s="46">
        <f>K320+L320+M320+N320+O320</f>
        <v>2000</v>
      </c>
      <c r="F320" s="288">
        <v>0</v>
      </c>
      <c r="G320" s="288">
        <v>0</v>
      </c>
      <c r="H320" s="288">
        <v>0</v>
      </c>
      <c r="I320" s="288">
        <v>0</v>
      </c>
      <c r="J320" s="288">
        <v>0</v>
      </c>
      <c r="K320" s="288">
        <v>400</v>
      </c>
      <c r="L320" s="288">
        <v>400</v>
      </c>
      <c r="M320" s="288">
        <v>400</v>
      </c>
      <c r="N320" s="288">
        <v>400</v>
      </c>
      <c r="O320" s="288">
        <v>400</v>
      </c>
      <c r="P320" s="289" t="b">
        <f t="shared" si="35"/>
        <v>1</v>
      </c>
      <c r="Q320" s="307"/>
      <c r="R320" s="12"/>
      <c r="S320" s="307"/>
      <c r="T320" s="309"/>
      <c r="U320" s="307"/>
    </row>
    <row r="321" spans="1:21" s="86" customFormat="1" ht="18.75">
      <c r="A321" s="286" t="s">
        <v>706</v>
      </c>
      <c r="B321" s="287" t="s">
        <v>48</v>
      </c>
      <c r="C321" s="286" t="s">
        <v>22</v>
      </c>
      <c r="D321" s="286" t="s">
        <v>707</v>
      </c>
      <c r="E321" s="46">
        <v>0</v>
      </c>
      <c r="F321" s="286"/>
      <c r="G321" s="286"/>
      <c r="H321" s="286"/>
      <c r="I321" s="286"/>
      <c r="J321" s="286"/>
      <c r="K321" s="46">
        <v>0</v>
      </c>
      <c r="L321" s="46">
        <v>0</v>
      </c>
      <c r="M321" s="46">
        <v>0</v>
      </c>
      <c r="N321" s="46">
        <v>0</v>
      </c>
      <c r="O321" s="46">
        <v>0</v>
      </c>
      <c r="P321" s="289" t="b">
        <f t="shared" si="35"/>
        <v>1</v>
      </c>
      <c r="Q321" s="307"/>
      <c r="R321" s="308"/>
      <c r="S321" s="307"/>
      <c r="T321" s="309"/>
      <c r="U321" s="307"/>
    </row>
    <row r="322" spans="1:21" s="86" customFormat="1" ht="58.5" customHeight="1">
      <c r="A322" s="286" t="s">
        <v>708</v>
      </c>
      <c r="B322" s="287" t="s">
        <v>49</v>
      </c>
      <c r="C322" s="286" t="s">
        <v>22</v>
      </c>
      <c r="D322" s="288">
        <v>22</v>
      </c>
      <c r="E322" s="46">
        <f>K322+L322+M322+N322+O322</f>
        <v>33922</v>
      </c>
      <c r="F322" s="286"/>
      <c r="G322" s="286"/>
      <c r="H322" s="286"/>
      <c r="I322" s="286"/>
      <c r="J322" s="286"/>
      <c r="K322" s="46">
        <f>8410-3291+503</f>
        <v>5622</v>
      </c>
      <c r="L322" s="46">
        <v>9100</v>
      </c>
      <c r="M322" s="46">
        <v>5100</v>
      </c>
      <c r="N322" s="46">
        <v>6800</v>
      </c>
      <c r="O322" s="46">
        <v>7300</v>
      </c>
      <c r="P322" s="289" t="b">
        <f t="shared" si="35"/>
        <v>1</v>
      </c>
      <c r="Q322" s="307"/>
      <c r="R322" s="24" t="s">
        <v>365</v>
      </c>
      <c r="S322" s="307"/>
      <c r="T322" s="309"/>
      <c r="U322" s="307"/>
    </row>
    <row r="323" spans="1:21" s="86" customFormat="1" ht="78.75">
      <c r="A323" s="286" t="s">
        <v>709</v>
      </c>
      <c r="B323" s="287" t="s">
        <v>50</v>
      </c>
      <c r="C323" s="286" t="s">
        <v>22</v>
      </c>
      <c r="D323" s="288">
        <v>259</v>
      </c>
      <c r="E323" s="288">
        <v>4860</v>
      </c>
      <c r="F323" s="288">
        <v>0</v>
      </c>
      <c r="G323" s="288">
        <v>0</v>
      </c>
      <c r="H323" s="288">
        <v>0</v>
      </c>
      <c r="I323" s="288">
        <v>0</v>
      </c>
      <c r="J323" s="288">
        <v>0</v>
      </c>
      <c r="K323" s="288">
        <v>178</v>
      </c>
      <c r="L323" s="288">
        <v>1007</v>
      </c>
      <c r="M323" s="288">
        <v>1143</v>
      </c>
      <c r="N323" s="288">
        <v>1232</v>
      </c>
      <c r="O323" s="288">
        <v>1300</v>
      </c>
      <c r="P323" s="289" t="b">
        <f t="shared" si="35"/>
        <v>1</v>
      </c>
      <c r="Q323" s="307"/>
      <c r="R323" s="24" t="s">
        <v>365</v>
      </c>
      <c r="S323" s="307"/>
      <c r="T323" s="309"/>
      <c r="U323" s="307"/>
    </row>
    <row r="324" spans="1:21" s="358" customFormat="1" ht="18.75">
      <c r="A324" s="352"/>
      <c r="B324" s="353" t="s">
        <v>4</v>
      </c>
      <c r="C324" s="352"/>
      <c r="D324" s="352">
        <f>D251+D259+D311+D313+D318+D319+D320+D321+D322+D323</f>
        <v>605.15</v>
      </c>
      <c r="E324" s="354">
        <f>E251+E259+E311+E313+E318+E319+E320+E321+E322+E323</f>
        <v>618279.19999999995</v>
      </c>
      <c r="F324" s="352"/>
      <c r="G324" s="352"/>
      <c r="H324" s="352"/>
      <c r="I324" s="352"/>
      <c r="J324" s="352"/>
      <c r="K324" s="354">
        <f>K251+K259+K311+K313+K318+K319+K320+K321+K322+K323</f>
        <v>76236.2</v>
      </c>
      <c r="L324" s="354">
        <f>L251+L259+L311+L313+L318+L319+L320+L321+L322+L323</f>
        <v>126507</v>
      </c>
      <c r="M324" s="354">
        <f>M251+M259+M311+M313+M318+M319+M320+M321+M322+M323</f>
        <v>71923</v>
      </c>
      <c r="N324" s="354">
        <f>N251+N259+N311+N313+N318+N319+N320+N321+N322+N323</f>
        <v>126960</v>
      </c>
      <c r="O324" s="354">
        <f>O251+O259+O311+O313+O318+O319+O320+O321+O322+O323</f>
        <v>216653</v>
      </c>
      <c r="P324" s="289" t="b">
        <f>E324=K324+L324+M324+N324+O324</f>
        <v>1</v>
      </c>
      <c r="Q324" s="355"/>
      <c r="R324" s="356" t="s">
        <v>710</v>
      </c>
      <c r="S324" s="355"/>
      <c r="T324" s="357"/>
      <c r="U324" s="355"/>
    </row>
    <row r="325" spans="1:21" s="86" customFormat="1" ht="15" customHeight="1">
      <c r="A325" s="359" t="s">
        <v>711</v>
      </c>
      <c r="B325" s="360"/>
      <c r="C325" s="360"/>
      <c r="D325" s="360"/>
      <c r="E325" s="360"/>
      <c r="F325" s="360"/>
      <c r="G325" s="360"/>
      <c r="H325" s="360"/>
      <c r="I325" s="360"/>
      <c r="J325" s="360"/>
      <c r="K325" s="360"/>
      <c r="L325" s="360"/>
      <c r="M325" s="360"/>
      <c r="N325" s="360"/>
      <c r="O325" s="360"/>
      <c r="P325" s="360"/>
      <c r="Q325" s="360"/>
      <c r="R325" s="360"/>
      <c r="S325" s="360"/>
      <c r="T325" s="360"/>
      <c r="U325" s="361"/>
    </row>
    <row r="326" spans="1:21" s="86" customFormat="1">
      <c r="A326" s="39" t="s">
        <v>1</v>
      </c>
      <c r="B326" s="11" t="s">
        <v>2</v>
      </c>
      <c r="C326" s="11" t="s">
        <v>3</v>
      </c>
      <c r="D326" s="11" t="s">
        <v>4</v>
      </c>
      <c r="E326" s="11"/>
      <c r="F326" s="11" t="s">
        <v>5</v>
      </c>
      <c r="G326" s="11" t="s">
        <v>6</v>
      </c>
      <c r="H326" s="11"/>
      <c r="I326" s="11" t="s">
        <v>7</v>
      </c>
      <c r="J326" s="11"/>
      <c r="K326" s="40" t="s">
        <v>8</v>
      </c>
      <c r="L326" s="41"/>
      <c r="M326" s="41"/>
      <c r="N326" s="41"/>
      <c r="O326" s="42"/>
      <c r="P326" s="43" t="s">
        <v>9</v>
      </c>
      <c r="Q326" s="11" t="s">
        <v>10</v>
      </c>
      <c r="R326" s="11" t="s">
        <v>11</v>
      </c>
      <c r="S326" s="11" t="s">
        <v>12</v>
      </c>
      <c r="T326" s="44" t="s">
        <v>13</v>
      </c>
      <c r="U326" s="11" t="s">
        <v>14</v>
      </c>
    </row>
    <row r="327" spans="1:21" s="86" customFormat="1" ht="63">
      <c r="A327" s="39"/>
      <c r="B327" s="11"/>
      <c r="C327" s="11"/>
      <c r="D327" s="12" t="s">
        <v>15</v>
      </c>
      <c r="E327" s="12" t="s">
        <v>16</v>
      </c>
      <c r="F327" s="11"/>
      <c r="G327" s="12" t="s">
        <v>17</v>
      </c>
      <c r="H327" s="12" t="s">
        <v>18</v>
      </c>
      <c r="I327" s="12" t="s">
        <v>17</v>
      </c>
      <c r="J327" s="12" t="s">
        <v>18</v>
      </c>
      <c r="K327" s="12">
        <v>2021</v>
      </c>
      <c r="L327" s="12">
        <v>2022</v>
      </c>
      <c r="M327" s="12">
        <v>2023</v>
      </c>
      <c r="N327" s="12">
        <v>2024</v>
      </c>
      <c r="O327" s="12">
        <v>2025</v>
      </c>
      <c r="P327" s="13"/>
      <c r="Q327" s="11"/>
      <c r="R327" s="11"/>
      <c r="S327" s="11"/>
      <c r="T327" s="44"/>
      <c r="U327" s="11"/>
    </row>
    <row r="328" spans="1:21" s="86" customFormat="1">
      <c r="A328" s="15">
        <v>1</v>
      </c>
      <c r="B328" s="12">
        <v>2</v>
      </c>
      <c r="C328" s="12">
        <v>3</v>
      </c>
      <c r="D328" s="12">
        <v>4</v>
      </c>
      <c r="E328" s="15">
        <v>5</v>
      </c>
      <c r="F328" s="12">
        <v>6</v>
      </c>
      <c r="G328" s="12">
        <v>7</v>
      </c>
      <c r="H328" s="12">
        <v>8</v>
      </c>
      <c r="I328" s="15">
        <v>9</v>
      </c>
      <c r="J328" s="12">
        <v>10</v>
      </c>
      <c r="K328" s="12">
        <v>11</v>
      </c>
      <c r="L328" s="12">
        <v>12</v>
      </c>
      <c r="M328" s="15">
        <v>13</v>
      </c>
      <c r="N328" s="12">
        <v>14</v>
      </c>
      <c r="O328" s="12">
        <v>15</v>
      </c>
      <c r="P328" s="16"/>
      <c r="Q328" s="12">
        <v>16</v>
      </c>
      <c r="R328" s="12">
        <v>17</v>
      </c>
      <c r="S328" s="12">
        <v>18</v>
      </c>
      <c r="T328" s="17">
        <v>20</v>
      </c>
      <c r="U328" s="12">
        <v>21</v>
      </c>
    </row>
    <row r="329" spans="1:21" s="86" customFormat="1" ht="18.75">
      <c r="A329" s="12">
        <v>1</v>
      </c>
      <c r="B329" s="17" t="s">
        <v>52</v>
      </c>
      <c r="C329" s="45"/>
      <c r="D329" s="46">
        <v>0</v>
      </c>
      <c r="E329" s="46">
        <v>0</v>
      </c>
      <c r="F329" s="45"/>
      <c r="G329" s="45"/>
      <c r="H329" s="45"/>
      <c r="I329" s="45"/>
      <c r="J329" s="45"/>
      <c r="K329" s="46">
        <v>0</v>
      </c>
      <c r="L329" s="46">
        <v>0</v>
      </c>
      <c r="M329" s="46">
        <v>0</v>
      </c>
      <c r="N329" s="46">
        <v>0</v>
      </c>
      <c r="O329" s="46">
        <v>0</v>
      </c>
      <c r="P329" s="362" t="b">
        <f t="shared" ref="P329:P377" si="36">E329=K329+L329+M329+N329+O329</f>
        <v>1</v>
      </c>
      <c r="Q329" s="12"/>
      <c r="R329" s="12"/>
      <c r="S329" s="12"/>
      <c r="T329" s="17"/>
      <c r="U329" s="12"/>
    </row>
    <row r="330" spans="1:21" s="86" customFormat="1" ht="105" hidden="1">
      <c r="A330" s="137" t="s">
        <v>712</v>
      </c>
      <c r="B330" s="138" t="s">
        <v>713</v>
      </c>
      <c r="C330" s="142" t="s">
        <v>22</v>
      </c>
      <c r="D330" s="142">
        <v>1</v>
      </c>
      <c r="E330" s="142">
        <v>0</v>
      </c>
      <c r="F330" s="142" t="s">
        <v>714</v>
      </c>
      <c r="G330" s="142" t="s">
        <v>391</v>
      </c>
      <c r="H330" s="142" t="s">
        <v>392</v>
      </c>
      <c r="I330" s="142"/>
      <c r="J330" s="142"/>
      <c r="K330" s="141"/>
      <c r="L330" s="141"/>
      <c r="M330" s="141"/>
      <c r="N330" s="141"/>
      <c r="O330" s="141"/>
      <c r="P330" s="362" t="b">
        <f t="shared" si="36"/>
        <v>1</v>
      </c>
      <c r="Q330" s="137"/>
      <c r="R330" s="137" t="s">
        <v>715</v>
      </c>
      <c r="S330" s="137" t="s">
        <v>716</v>
      </c>
      <c r="T330" s="137" t="s">
        <v>717</v>
      </c>
      <c r="U330" s="138" t="s">
        <v>718</v>
      </c>
    </row>
    <row r="331" spans="1:21" s="86" customFormat="1" ht="105" hidden="1">
      <c r="A331" s="137" t="s">
        <v>719</v>
      </c>
      <c r="B331" s="138" t="s">
        <v>720</v>
      </c>
      <c r="C331" s="142" t="s">
        <v>22</v>
      </c>
      <c r="D331" s="142">
        <v>1</v>
      </c>
      <c r="E331" s="142">
        <v>0</v>
      </c>
      <c r="F331" s="142" t="s">
        <v>714</v>
      </c>
      <c r="G331" s="142" t="s">
        <v>381</v>
      </c>
      <c r="H331" s="142" t="s">
        <v>382</v>
      </c>
      <c r="I331" s="142"/>
      <c r="J331" s="142"/>
      <c r="K331" s="141"/>
      <c r="L331" s="141"/>
      <c r="M331" s="141"/>
      <c r="N331" s="141"/>
      <c r="O331" s="141"/>
      <c r="P331" s="362" t="b">
        <f t="shared" si="36"/>
        <v>1</v>
      </c>
      <c r="Q331" s="137"/>
      <c r="R331" s="137" t="s">
        <v>715</v>
      </c>
      <c r="S331" s="137" t="s">
        <v>716</v>
      </c>
      <c r="T331" s="137" t="s">
        <v>717</v>
      </c>
      <c r="U331" s="138" t="s">
        <v>721</v>
      </c>
    </row>
    <row r="332" spans="1:21" s="86" customFormat="1" ht="18.75">
      <c r="A332" s="137" t="s">
        <v>25</v>
      </c>
      <c r="B332" s="138" t="s">
        <v>26</v>
      </c>
      <c r="C332" s="142" t="s">
        <v>27</v>
      </c>
      <c r="D332" s="142">
        <v>0</v>
      </c>
      <c r="E332" s="142">
        <v>0</v>
      </c>
      <c r="F332" s="142"/>
      <c r="G332" s="142"/>
      <c r="H332" s="142"/>
      <c r="I332" s="142"/>
      <c r="J332" s="142"/>
      <c r="K332" s="141">
        <v>0</v>
      </c>
      <c r="L332" s="141">
        <v>0</v>
      </c>
      <c r="M332" s="141">
        <v>0</v>
      </c>
      <c r="N332" s="141">
        <v>0</v>
      </c>
      <c r="O332" s="141">
        <v>0</v>
      </c>
      <c r="P332" s="362" t="b">
        <f t="shared" si="36"/>
        <v>1</v>
      </c>
      <c r="Q332" s="137"/>
      <c r="R332" s="137"/>
      <c r="S332" s="137"/>
      <c r="T332" s="138"/>
      <c r="U332" s="137"/>
    </row>
    <row r="333" spans="1:21" s="86" customFormat="1" ht="18.75">
      <c r="A333" s="137" t="s">
        <v>28</v>
      </c>
      <c r="B333" s="138" t="s">
        <v>29</v>
      </c>
      <c r="C333" s="142" t="s">
        <v>27</v>
      </c>
      <c r="D333" s="142">
        <v>0</v>
      </c>
      <c r="E333" s="142">
        <v>0</v>
      </c>
      <c r="F333" s="142"/>
      <c r="G333" s="142"/>
      <c r="H333" s="142"/>
      <c r="I333" s="142"/>
      <c r="J333" s="142"/>
      <c r="K333" s="141">
        <v>0</v>
      </c>
      <c r="L333" s="141">
        <v>0</v>
      </c>
      <c r="M333" s="141">
        <v>0</v>
      </c>
      <c r="N333" s="141">
        <v>0</v>
      </c>
      <c r="O333" s="141">
        <v>0</v>
      </c>
      <c r="P333" s="362" t="b">
        <f t="shared" si="36"/>
        <v>1</v>
      </c>
      <c r="Q333" s="137"/>
      <c r="R333" s="137"/>
      <c r="S333" s="137"/>
      <c r="T333" s="138"/>
      <c r="U333" s="137"/>
    </row>
    <row r="334" spans="1:21" s="86" customFormat="1" ht="31.5">
      <c r="A334" s="12" t="s">
        <v>30</v>
      </c>
      <c r="B334" s="17" t="s">
        <v>31</v>
      </c>
      <c r="C334" s="45"/>
      <c r="D334" s="45">
        <f>D335+D354+D358</f>
        <v>6</v>
      </c>
      <c r="E334" s="45">
        <f>E335+E354+E358</f>
        <v>516924.95999999996</v>
      </c>
      <c r="F334" s="45"/>
      <c r="G334" s="45"/>
      <c r="H334" s="45"/>
      <c r="I334" s="45"/>
      <c r="J334" s="45"/>
      <c r="K334" s="46">
        <f>K335+K354+K358</f>
        <v>110117.3</v>
      </c>
      <c r="L334" s="46">
        <f>L335+L354+L358</f>
        <v>87632.76</v>
      </c>
      <c r="M334" s="46">
        <f>M335+M354+M358</f>
        <v>219297.9</v>
      </c>
      <c r="N334" s="46">
        <f>N335+N354+N358</f>
        <v>33700</v>
      </c>
      <c r="O334" s="46">
        <f>O335+O354+O358</f>
        <v>66177</v>
      </c>
      <c r="P334" s="362" t="b">
        <f t="shared" si="36"/>
        <v>1</v>
      </c>
      <c r="Q334" s="12"/>
      <c r="R334" s="12"/>
      <c r="S334" s="12"/>
      <c r="T334" s="17"/>
      <c r="U334" s="12"/>
    </row>
    <row r="335" spans="1:21" s="86" customFormat="1" ht="18.75">
      <c r="A335" s="137" t="s">
        <v>32</v>
      </c>
      <c r="B335" s="138" t="s">
        <v>21</v>
      </c>
      <c r="C335" s="142" t="s">
        <v>22</v>
      </c>
      <c r="D335" s="142">
        <f>D336+D339+D344+D352</f>
        <v>4</v>
      </c>
      <c r="E335" s="363">
        <f>E336+E339+E344+E352</f>
        <v>439014.95999999996</v>
      </c>
      <c r="F335" s="363"/>
      <c r="G335" s="363"/>
      <c r="H335" s="363"/>
      <c r="I335" s="363"/>
      <c r="J335" s="363"/>
      <c r="K335" s="363">
        <f>K336+K339+K344+K352</f>
        <v>91817.3</v>
      </c>
      <c r="L335" s="363">
        <f>L336+L339+L344+L352</f>
        <v>87632.76</v>
      </c>
      <c r="M335" s="363">
        <f>M336+M339+M344+M352</f>
        <v>209297.9</v>
      </c>
      <c r="N335" s="363">
        <f>N336+N339+N344+N352</f>
        <v>22700</v>
      </c>
      <c r="O335" s="363">
        <f>O336+O339+O344+O352</f>
        <v>27567</v>
      </c>
      <c r="P335" s="362" t="b">
        <f t="shared" si="36"/>
        <v>1</v>
      </c>
      <c r="Q335" s="137"/>
      <c r="R335" s="137"/>
      <c r="S335" s="137"/>
      <c r="T335" s="138"/>
      <c r="U335" s="137"/>
    </row>
    <row r="336" spans="1:21" s="86" customFormat="1" ht="18.75">
      <c r="A336" s="137" t="s">
        <v>75</v>
      </c>
      <c r="B336" s="131" t="s">
        <v>722</v>
      </c>
      <c r="C336" s="364"/>
      <c r="D336" s="364">
        <f>D337+D338</f>
        <v>2</v>
      </c>
      <c r="E336" s="365">
        <f>E337+E338</f>
        <v>69634.3</v>
      </c>
      <c r="F336" s="364"/>
      <c r="G336" s="364"/>
      <c r="H336" s="364"/>
      <c r="I336" s="364"/>
      <c r="J336" s="364"/>
      <c r="K336" s="366">
        <f>K337+K338</f>
        <v>8767.2999999999993</v>
      </c>
      <c r="L336" s="366">
        <f t="shared" ref="L336:O336" si="37">L337+L338</f>
        <v>0</v>
      </c>
      <c r="M336" s="366">
        <f t="shared" si="37"/>
        <v>10600</v>
      </c>
      <c r="N336" s="366">
        <f t="shared" si="37"/>
        <v>22700</v>
      </c>
      <c r="O336" s="366">
        <f t="shared" si="37"/>
        <v>27567</v>
      </c>
      <c r="P336" s="362" t="b">
        <f t="shared" si="36"/>
        <v>1</v>
      </c>
      <c r="Q336" s="137"/>
      <c r="R336" s="137"/>
      <c r="S336" s="137"/>
      <c r="T336" s="138"/>
      <c r="U336" s="137"/>
    </row>
    <row r="337" spans="1:21" s="86" customFormat="1" ht="90">
      <c r="A337" s="137" t="s">
        <v>723</v>
      </c>
      <c r="B337" s="131" t="s">
        <v>724</v>
      </c>
      <c r="C337" s="364" t="s">
        <v>22</v>
      </c>
      <c r="D337" s="364">
        <v>1</v>
      </c>
      <c r="E337" s="365">
        <f>K337+L337+M337+N337+O337</f>
        <v>8767.2999999999993</v>
      </c>
      <c r="F337" s="364" t="s">
        <v>56</v>
      </c>
      <c r="G337" s="364" t="s">
        <v>725</v>
      </c>
      <c r="H337" s="364" t="s">
        <v>726</v>
      </c>
      <c r="I337" s="364" t="s">
        <v>727</v>
      </c>
      <c r="J337" s="364" t="s">
        <v>269</v>
      </c>
      <c r="K337" s="366">
        <f>8767.3</f>
        <v>8767.2999999999993</v>
      </c>
      <c r="L337" s="366"/>
      <c r="M337" s="366"/>
      <c r="N337" s="366"/>
      <c r="O337" s="366"/>
      <c r="P337" s="362" t="b">
        <f t="shared" si="36"/>
        <v>1</v>
      </c>
      <c r="Q337" s="137"/>
      <c r="R337" s="137" t="s">
        <v>61</v>
      </c>
      <c r="S337" s="137" t="s">
        <v>62</v>
      </c>
      <c r="T337" s="138" t="s">
        <v>717</v>
      </c>
      <c r="U337" s="137" t="s">
        <v>728</v>
      </c>
    </row>
    <row r="338" spans="1:21" s="86" customFormat="1" ht="90">
      <c r="A338" s="137" t="s">
        <v>729</v>
      </c>
      <c r="B338" s="367" t="s">
        <v>730</v>
      </c>
      <c r="C338" s="364" t="s">
        <v>22</v>
      </c>
      <c r="D338" s="364">
        <v>1</v>
      </c>
      <c r="E338" s="365">
        <f>K338+L338+M338+N338+O338</f>
        <v>60867</v>
      </c>
      <c r="F338" s="364" t="s">
        <v>731</v>
      </c>
      <c r="G338" s="364" t="s">
        <v>732</v>
      </c>
      <c r="H338" s="364" t="s">
        <v>733</v>
      </c>
      <c r="I338" s="364" t="s">
        <v>375</v>
      </c>
      <c r="J338" s="364" t="s">
        <v>734</v>
      </c>
      <c r="K338" s="366"/>
      <c r="L338" s="366"/>
      <c r="M338" s="366">
        <f>11000-400</f>
        <v>10600</v>
      </c>
      <c r="N338" s="366">
        <f>21300+400+1000</f>
        <v>22700</v>
      </c>
      <c r="O338" s="366">
        <f>20000+5667+1900</f>
        <v>27567</v>
      </c>
      <c r="P338" s="362" t="b">
        <f t="shared" si="36"/>
        <v>1</v>
      </c>
      <c r="Q338" s="137"/>
      <c r="R338" s="137" t="s">
        <v>735</v>
      </c>
      <c r="S338" s="137" t="s">
        <v>62</v>
      </c>
      <c r="T338" s="138" t="s">
        <v>717</v>
      </c>
      <c r="U338" s="137" t="s">
        <v>736</v>
      </c>
    </row>
    <row r="339" spans="1:21" s="86" customFormat="1" ht="18.75">
      <c r="A339" s="137" t="s">
        <v>80</v>
      </c>
      <c r="B339" s="131" t="s">
        <v>737</v>
      </c>
      <c r="C339" s="364"/>
      <c r="D339" s="364">
        <f>D340</f>
        <v>1</v>
      </c>
      <c r="E339" s="364">
        <f>E340+E341+E342+E343</f>
        <v>83050</v>
      </c>
      <c r="F339" s="364"/>
      <c r="G339" s="364"/>
      <c r="H339" s="364"/>
      <c r="I339" s="364"/>
      <c r="J339" s="364"/>
      <c r="K339" s="366">
        <f>K340+K341+K342+K343</f>
        <v>83050</v>
      </c>
      <c r="L339" s="366">
        <f>L340+L341+L342+L343</f>
        <v>0</v>
      </c>
      <c r="M339" s="366">
        <f>M340+M341+M342+M343</f>
        <v>0</v>
      </c>
      <c r="N339" s="366">
        <f>N340+N341+N342+N343</f>
        <v>0</v>
      </c>
      <c r="O339" s="366">
        <f>O340+O341+O342+O343</f>
        <v>0</v>
      </c>
      <c r="P339" s="362" t="b">
        <f t="shared" si="36"/>
        <v>1</v>
      </c>
      <c r="Q339" s="137"/>
      <c r="R339" s="137"/>
      <c r="S339" s="137"/>
      <c r="T339" s="138"/>
      <c r="U339" s="137"/>
    </row>
    <row r="340" spans="1:21" s="86" customFormat="1" ht="90">
      <c r="A340" s="368" t="s">
        <v>738</v>
      </c>
      <c r="B340" s="369" t="s">
        <v>739</v>
      </c>
      <c r="C340" s="370" t="s">
        <v>22</v>
      </c>
      <c r="D340" s="370">
        <v>1</v>
      </c>
      <c r="E340" s="329">
        <f>K340+L340+M340+N340+O340</f>
        <v>83050</v>
      </c>
      <c r="F340" s="371" t="s">
        <v>56</v>
      </c>
      <c r="G340" s="372" t="s">
        <v>96</v>
      </c>
      <c r="H340" s="372" t="s">
        <v>740</v>
      </c>
      <c r="I340" s="372" t="s">
        <v>278</v>
      </c>
      <c r="J340" s="372" t="s">
        <v>98</v>
      </c>
      <c r="K340" s="373">
        <f>88050-5000</f>
        <v>83050</v>
      </c>
      <c r="L340" s="141"/>
      <c r="M340" s="141"/>
      <c r="N340" s="141"/>
      <c r="O340" s="141"/>
      <c r="P340" s="362" t="b">
        <f t="shared" si="36"/>
        <v>1</v>
      </c>
      <c r="Q340" s="137"/>
      <c r="R340" s="137" t="s">
        <v>61</v>
      </c>
      <c r="S340" s="137" t="s">
        <v>62</v>
      </c>
      <c r="T340" s="138" t="s">
        <v>717</v>
      </c>
      <c r="U340" s="137" t="s">
        <v>741</v>
      </c>
    </row>
    <row r="341" spans="1:21" s="86" customFormat="1" ht="90" hidden="1">
      <c r="A341" s="374"/>
      <c r="B341" s="369" t="s">
        <v>742</v>
      </c>
      <c r="C341" s="375"/>
      <c r="D341" s="375"/>
      <c r="E341" s="329">
        <f>K341+L341+M341+N341+O341</f>
        <v>0</v>
      </c>
      <c r="F341" s="371" t="s">
        <v>56</v>
      </c>
      <c r="G341" s="376" t="s">
        <v>96</v>
      </c>
      <c r="H341" s="376" t="s">
        <v>740</v>
      </c>
      <c r="I341" s="376" t="s">
        <v>743</v>
      </c>
      <c r="J341" s="376" t="s">
        <v>98</v>
      </c>
      <c r="K341" s="377"/>
      <c r="L341" s="377"/>
      <c r="M341" s="377"/>
      <c r="N341" s="377"/>
      <c r="O341" s="377"/>
      <c r="P341" s="362" t="b">
        <f t="shared" si="36"/>
        <v>1</v>
      </c>
      <c r="Q341" s="137"/>
      <c r="R341" s="137" t="s">
        <v>61</v>
      </c>
      <c r="S341" s="137" t="s">
        <v>62</v>
      </c>
      <c r="T341" s="138" t="s">
        <v>717</v>
      </c>
      <c r="U341" s="137" t="s">
        <v>744</v>
      </c>
    </row>
    <row r="342" spans="1:21" s="86" customFormat="1" ht="90" hidden="1">
      <c r="A342" s="374"/>
      <c r="B342" s="369" t="s">
        <v>745</v>
      </c>
      <c r="C342" s="375"/>
      <c r="D342" s="375"/>
      <c r="E342" s="329">
        <f>K342+L342+M342+N342+O342</f>
        <v>0</v>
      </c>
      <c r="F342" s="371" t="s">
        <v>56</v>
      </c>
      <c r="G342" s="371" t="s">
        <v>96</v>
      </c>
      <c r="H342" s="371" t="s">
        <v>740</v>
      </c>
      <c r="I342" s="371" t="s">
        <v>746</v>
      </c>
      <c r="J342" s="371" t="s">
        <v>60</v>
      </c>
      <c r="K342" s="141"/>
      <c r="L342" s="141"/>
      <c r="M342" s="141"/>
      <c r="N342" s="141"/>
      <c r="O342" s="141"/>
      <c r="P342" s="362" t="b">
        <f t="shared" si="36"/>
        <v>1</v>
      </c>
      <c r="Q342" s="137"/>
      <c r="R342" s="137" t="s">
        <v>61</v>
      </c>
      <c r="S342" s="137" t="s">
        <v>62</v>
      </c>
      <c r="T342" s="138" t="s">
        <v>717</v>
      </c>
      <c r="U342" s="137" t="s">
        <v>747</v>
      </c>
    </row>
    <row r="343" spans="1:21" ht="90" hidden="1">
      <c r="A343" s="374"/>
      <c r="B343" s="369" t="s">
        <v>748</v>
      </c>
      <c r="C343" s="378"/>
      <c r="D343" s="378"/>
      <c r="E343" s="329">
        <f>K343+L343+M343+N343+O343</f>
        <v>0</v>
      </c>
      <c r="F343" s="371" t="s">
        <v>56</v>
      </c>
      <c r="G343" s="371" t="s">
        <v>96</v>
      </c>
      <c r="H343" s="371" t="s">
        <v>740</v>
      </c>
      <c r="I343" s="371" t="s">
        <v>749</v>
      </c>
      <c r="J343" s="371" t="s">
        <v>124</v>
      </c>
      <c r="K343" s="141"/>
      <c r="L343" s="141"/>
      <c r="M343" s="141"/>
      <c r="N343" s="141"/>
      <c r="O343" s="141"/>
      <c r="P343" s="362" t="b">
        <f t="shared" si="36"/>
        <v>1</v>
      </c>
      <c r="Q343" s="137"/>
      <c r="R343" s="137" t="s">
        <v>61</v>
      </c>
      <c r="S343" s="137" t="s">
        <v>62</v>
      </c>
      <c r="T343" s="138" t="s">
        <v>717</v>
      </c>
      <c r="U343" s="137" t="s">
        <v>750</v>
      </c>
    </row>
    <row r="344" spans="1:21" s="86" customFormat="1" ht="18.75">
      <c r="A344" s="379" t="s">
        <v>88</v>
      </c>
      <c r="B344" s="380" t="s">
        <v>751</v>
      </c>
      <c r="C344" s="381"/>
      <c r="D344" s="371"/>
      <c r="E344" s="329">
        <f>K344+L344+M344+N344+O344</f>
        <v>286330.65999999997</v>
      </c>
      <c r="F344" s="371"/>
      <c r="G344" s="371"/>
      <c r="H344" s="371"/>
      <c r="I344" s="371"/>
      <c r="J344" s="371"/>
      <c r="K344" s="141">
        <f>K345+K346+K347+K348+K349+K350+K351</f>
        <v>0</v>
      </c>
      <c r="L344" s="141">
        <f>L345+L346+L347+L348+L349+L350+L351</f>
        <v>87632.76</v>
      </c>
      <c r="M344" s="141">
        <f>M345+M346+M347+M348+M349+M350+M351</f>
        <v>198697.9</v>
      </c>
      <c r="N344" s="141">
        <f>N345+N346+N347+N348+N349+N350+N351</f>
        <v>0</v>
      </c>
      <c r="O344" s="141">
        <f>O345+O346+O347+O348+O349+O350+O351</f>
        <v>0</v>
      </c>
      <c r="P344" s="362" t="b">
        <f t="shared" si="36"/>
        <v>1</v>
      </c>
      <c r="Q344" s="137"/>
      <c r="R344" s="137"/>
      <c r="S344" s="137"/>
      <c r="T344" s="138"/>
      <c r="U344" s="137"/>
    </row>
    <row r="345" spans="1:21" s="390" customFormat="1" ht="90">
      <c r="A345" s="382" t="s">
        <v>752</v>
      </c>
      <c r="B345" s="383" t="s">
        <v>753</v>
      </c>
      <c r="C345" s="384" t="s">
        <v>22</v>
      </c>
      <c r="D345" s="384">
        <v>1</v>
      </c>
      <c r="E345" s="385">
        <v>87632.76</v>
      </c>
      <c r="F345" s="386" t="s">
        <v>56</v>
      </c>
      <c r="G345" s="386" t="s">
        <v>740</v>
      </c>
      <c r="H345" s="386" t="s">
        <v>740</v>
      </c>
      <c r="I345" s="386" t="s">
        <v>115</v>
      </c>
      <c r="J345" s="386" t="s">
        <v>92</v>
      </c>
      <c r="K345" s="387"/>
      <c r="L345" s="388">
        <v>87632.76</v>
      </c>
      <c r="M345" s="387"/>
      <c r="N345" s="387"/>
      <c r="O345" s="387"/>
      <c r="P345" s="362" t="b">
        <f t="shared" si="36"/>
        <v>1</v>
      </c>
      <c r="Q345" s="144"/>
      <c r="R345" s="144" t="s">
        <v>61</v>
      </c>
      <c r="S345" s="144" t="s">
        <v>62</v>
      </c>
      <c r="T345" s="389" t="s">
        <v>717</v>
      </c>
      <c r="U345" s="144" t="s">
        <v>754</v>
      </c>
    </row>
    <row r="346" spans="1:21" s="390" customFormat="1" ht="90" hidden="1">
      <c r="A346" s="391"/>
      <c r="B346" s="383" t="s">
        <v>755</v>
      </c>
      <c r="C346" s="392"/>
      <c r="D346" s="392"/>
      <c r="E346" s="385"/>
      <c r="F346" s="386" t="s">
        <v>56</v>
      </c>
      <c r="G346" s="386" t="s">
        <v>740</v>
      </c>
      <c r="H346" s="386" t="s">
        <v>740</v>
      </c>
      <c r="I346" s="386" t="s">
        <v>115</v>
      </c>
      <c r="J346" s="386" t="s">
        <v>92</v>
      </c>
      <c r="K346" s="387"/>
      <c r="L346" s="387"/>
      <c r="M346" s="387"/>
      <c r="N346" s="387"/>
      <c r="O346" s="387"/>
      <c r="P346" s="362" t="b">
        <f t="shared" si="36"/>
        <v>1</v>
      </c>
      <c r="Q346" s="144"/>
      <c r="R346" s="144" t="s">
        <v>61</v>
      </c>
      <c r="S346" s="144" t="s">
        <v>62</v>
      </c>
      <c r="T346" s="389" t="s">
        <v>717</v>
      </c>
      <c r="U346" s="144" t="s">
        <v>756</v>
      </c>
    </row>
    <row r="347" spans="1:21" s="395" customFormat="1" ht="90" hidden="1">
      <c r="A347" s="393"/>
      <c r="B347" s="383" t="s">
        <v>757</v>
      </c>
      <c r="C347" s="394"/>
      <c r="D347" s="394"/>
      <c r="E347" s="385"/>
      <c r="F347" s="386" t="s">
        <v>56</v>
      </c>
      <c r="G347" s="386" t="s">
        <v>740</v>
      </c>
      <c r="H347" s="386" t="s">
        <v>740</v>
      </c>
      <c r="I347" s="386" t="s">
        <v>749</v>
      </c>
      <c r="J347" s="386" t="s">
        <v>124</v>
      </c>
      <c r="K347" s="387"/>
      <c r="L347" s="387"/>
      <c r="M347" s="387"/>
      <c r="N347" s="387"/>
      <c r="O347" s="387"/>
      <c r="P347" s="362" t="b">
        <f t="shared" si="36"/>
        <v>1</v>
      </c>
      <c r="Q347" s="144"/>
      <c r="R347" s="144" t="s">
        <v>61</v>
      </c>
      <c r="S347" s="144" t="s">
        <v>62</v>
      </c>
      <c r="T347" s="389" t="s">
        <v>717</v>
      </c>
      <c r="U347" s="144" t="s">
        <v>758</v>
      </c>
    </row>
    <row r="348" spans="1:21" s="398" customFormat="1" ht="90">
      <c r="A348" s="396" t="s">
        <v>759</v>
      </c>
      <c r="B348" s="367" t="s">
        <v>760</v>
      </c>
      <c r="C348" s="370" t="s">
        <v>22</v>
      </c>
      <c r="D348" s="370">
        <v>1</v>
      </c>
      <c r="E348" s="397">
        <v>198697.9</v>
      </c>
      <c r="F348" s="371" t="s">
        <v>56</v>
      </c>
      <c r="G348" s="371" t="s">
        <v>740</v>
      </c>
      <c r="H348" s="371" t="s">
        <v>740</v>
      </c>
      <c r="I348" s="371" t="s">
        <v>746</v>
      </c>
      <c r="J348" s="371" t="s">
        <v>60</v>
      </c>
      <c r="K348" s="141"/>
      <c r="L348" s="141"/>
      <c r="M348" s="373">
        <v>198697.9</v>
      </c>
      <c r="N348" s="141"/>
      <c r="O348" s="141"/>
      <c r="P348" s="362" t="b">
        <f t="shared" si="36"/>
        <v>1</v>
      </c>
      <c r="Q348" s="137"/>
      <c r="R348" s="137" t="s">
        <v>61</v>
      </c>
      <c r="S348" s="137" t="s">
        <v>62</v>
      </c>
      <c r="T348" s="138" t="s">
        <v>717</v>
      </c>
      <c r="U348" s="137" t="s">
        <v>761</v>
      </c>
    </row>
    <row r="349" spans="1:21" s="398" customFormat="1" ht="90" hidden="1">
      <c r="A349" s="399"/>
      <c r="B349" s="367" t="s">
        <v>762</v>
      </c>
      <c r="C349" s="375"/>
      <c r="D349" s="375"/>
      <c r="E349" s="397"/>
      <c r="F349" s="371" t="s">
        <v>56</v>
      </c>
      <c r="G349" s="371" t="s">
        <v>740</v>
      </c>
      <c r="H349" s="371" t="s">
        <v>740</v>
      </c>
      <c r="I349" s="371" t="s">
        <v>746</v>
      </c>
      <c r="J349" s="371" t="s">
        <v>60</v>
      </c>
      <c r="K349" s="141"/>
      <c r="L349" s="141"/>
      <c r="M349" s="141"/>
      <c r="N349" s="141"/>
      <c r="O349" s="141"/>
      <c r="P349" s="362" t="b">
        <f t="shared" si="36"/>
        <v>1</v>
      </c>
      <c r="Q349" s="137"/>
      <c r="R349" s="137" t="s">
        <v>61</v>
      </c>
      <c r="S349" s="137" t="s">
        <v>62</v>
      </c>
      <c r="T349" s="138" t="s">
        <v>717</v>
      </c>
      <c r="U349" s="137" t="s">
        <v>763</v>
      </c>
    </row>
    <row r="350" spans="1:21" s="398" customFormat="1" ht="90" hidden="1">
      <c r="A350" s="399"/>
      <c r="B350" s="367" t="s">
        <v>764</v>
      </c>
      <c r="C350" s="375"/>
      <c r="D350" s="375"/>
      <c r="E350" s="397"/>
      <c r="F350" s="371" t="s">
        <v>56</v>
      </c>
      <c r="G350" s="371" t="s">
        <v>740</v>
      </c>
      <c r="H350" s="371" t="s">
        <v>740</v>
      </c>
      <c r="I350" s="371" t="s">
        <v>749</v>
      </c>
      <c r="J350" s="371" t="s">
        <v>183</v>
      </c>
      <c r="K350" s="141"/>
      <c r="L350" s="141"/>
      <c r="M350" s="141"/>
      <c r="N350" s="141"/>
      <c r="O350" s="141"/>
      <c r="P350" s="362" t="b">
        <f t="shared" si="36"/>
        <v>1</v>
      </c>
      <c r="Q350" s="137"/>
      <c r="R350" s="137" t="s">
        <v>61</v>
      </c>
      <c r="S350" s="137" t="s">
        <v>62</v>
      </c>
      <c r="T350" s="138" t="s">
        <v>717</v>
      </c>
      <c r="U350" s="137" t="s">
        <v>765</v>
      </c>
    </row>
    <row r="351" spans="1:21" s="401" customFormat="1" ht="90" hidden="1">
      <c r="A351" s="400"/>
      <c r="B351" s="367" t="s">
        <v>766</v>
      </c>
      <c r="C351" s="378"/>
      <c r="D351" s="378"/>
      <c r="E351" s="397"/>
      <c r="F351" s="371" t="s">
        <v>56</v>
      </c>
      <c r="G351" s="371" t="s">
        <v>740</v>
      </c>
      <c r="H351" s="371" t="s">
        <v>740</v>
      </c>
      <c r="I351" s="371" t="s">
        <v>83</v>
      </c>
      <c r="J351" s="371" t="s">
        <v>183</v>
      </c>
      <c r="K351" s="141"/>
      <c r="L351" s="141"/>
      <c r="M351" s="141"/>
      <c r="N351" s="141"/>
      <c r="O351" s="141"/>
      <c r="P351" s="362" t="b">
        <f t="shared" si="36"/>
        <v>1</v>
      </c>
      <c r="Q351" s="137"/>
      <c r="R351" s="137" t="s">
        <v>61</v>
      </c>
      <c r="S351" s="137" t="s">
        <v>62</v>
      </c>
      <c r="T351" s="138" t="s">
        <v>717</v>
      </c>
      <c r="U351" s="137" t="s">
        <v>767</v>
      </c>
    </row>
    <row r="352" spans="1:21" s="86" customFormat="1" ht="19.5" customHeight="1">
      <c r="A352" s="379" t="s">
        <v>100</v>
      </c>
      <c r="B352" s="131" t="s">
        <v>768</v>
      </c>
      <c r="C352" s="376"/>
      <c r="D352" s="376">
        <f>D353</f>
        <v>1</v>
      </c>
      <c r="E352" s="329">
        <f>E353</f>
        <v>0</v>
      </c>
      <c r="F352" s="371"/>
      <c r="G352" s="371"/>
      <c r="H352" s="371"/>
      <c r="I352" s="371"/>
      <c r="J352" s="371"/>
      <c r="K352" s="141">
        <f>K353</f>
        <v>0</v>
      </c>
      <c r="L352" s="141">
        <f>L353</f>
        <v>0</v>
      </c>
      <c r="M352" s="141">
        <f>M353</f>
        <v>0</v>
      </c>
      <c r="N352" s="141">
        <f>N353</f>
        <v>0</v>
      </c>
      <c r="O352" s="141">
        <f>O353</f>
        <v>0</v>
      </c>
      <c r="P352" s="362" t="b">
        <f t="shared" si="36"/>
        <v>1</v>
      </c>
      <c r="Q352" s="137"/>
      <c r="R352" s="137"/>
      <c r="S352" s="137"/>
      <c r="T352" s="138"/>
      <c r="U352" s="137"/>
    </row>
    <row r="353" spans="1:21" s="404" customFormat="1" ht="91.5" hidden="1" customHeight="1">
      <c r="A353" s="379" t="s">
        <v>769</v>
      </c>
      <c r="B353" s="402" t="s">
        <v>770</v>
      </c>
      <c r="C353" s="403" t="s">
        <v>22</v>
      </c>
      <c r="D353" s="376">
        <v>1</v>
      </c>
      <c r="E353" s="329"/>
      <c r="F353" s="371" t="s">
        <v>714</v>
      </c>
      <c r="G353" s="371" t="s">
        <v>771</v>
      </c>
      <c r="H353" s="371" t="s">
        <v>392</v>
      </c>
      <c r="I353" s="371" t="s">
        <v>772</v>
      </c>
      <c r="J353" s="371" t="s">
        <v>773</v>
      </c>
      <c r="K353" s="141"/>
      <c r="L353" s="141"/>
      <c r="M353" s="141"/>
      <c r="N353" s="141"/>
      <c r="O353" s="141"/>
      <c r="P353" s="362" t="b">
        <f t="shared" si="36"/>
        <v>1</v>
      </c>
      <c r="Q353" s="137"/>
      <c r="R353" s="137" t="s">
        <v>61</v>
      </c>
      <c r="S353" s="137" t="s">
        <v>62</v>
      </c>
      <c r="T353" s="138" t="s">
        <v>717</v>
      </c>
      <c r="U353" s="137" t="s">
        <v>774</v>
      </c>
    </row>
    <row r="354" spans="1:21" s="409" customFormat="1" ht="18.75">
      <c r="A354" s="405" t="s">
        <v>33</v>
      </c>
      <c r="B354" s="406" t="s">
        <v>24</v>
      </c>
      <c r="C354" s="407" t="s">
        <v>22</v>
      </c>
      <c r="D354" s="134">
        <f>D357+D355</f>
        <v>2</v>
      </c>
      <c r="E354" s="373">
        <f>E357+E356</f>
        <v>77910</v>
      </c>
      <c r="F354" s="134">
        <f>F357+F355</f>
        <v>0</v>
      </c>
      <c r="G354" s="134"/>
      <c r="H354" s="134"/>
      <c r="I354" s="134"/>
      <c r="J354" s="134"/>
      <c r="K354" s="373">
        <f>K357+K356</f>
        <v>18300</v>
      </c>
      <c r="L354" s="373">
        <f t="shared" ref="L354:O354" si="38">L357+L356</f>
        <v>0</v>
      </c>
      <c r="M354" s="373">
        <f t="shared" si="38"/>
        <v>10000</v>
      </c>
      <c r="N354" s="373">
        <f t="shared" si="38"/>
        <v>11000</v>
      </c>
      <c r="O354" s="373">
        <f t="shared" si="38"/>
        <v>38610</v>
      </c>
      <c r="P354" s="362" t="b">
        <f t="shared" si="36"/>
        <v>1</v>
      </c>
      <c r="Q354" s="134">
        <f>Q357+Q355</f>
        <v>0</v>
      </c>
      <c r="R354" s="132"/>
      <c r="S354" s="132"/>
      <c r="T354" s="408"/>
      <c r="U354" s="132"/>
    </row>
    <row r="355" spans="1:21" s="404" customFormat="1" ht="18.75" hidden="1">
      <c r="A355" s="379" t="s">
        <v>144</v>
      </c>
      <c r="B355" s="138" t="s">
        <v>775</v>
      </c>
      <c r="C355" s="142"/>
      <c r="D355" s="142">
        <v>1</v>
      </c>
      <c r="E355" s="363">
        <f>E357</f>
        <v>18300</v>
      </c>
      <c r="F355" s="371"/>
      <c r="G355" s="371"/>
      <c r="H355" s="371"/>
      <c r="I355" s="371"/>
      <c r="J355" s="371"/>
      <c r="K355" s="141">
        <f>K357</f>
        <v>18300</v>
      </c>
      <c r="L355" s="141">
        <f>L357</f>
        <v>0</v>
      </c>
      <c r="M355" s="141">
        <f>M357</f>
        <v>0</v>
      </c>
      <c r="N355" s="141">
        <f>N357</f>
        <v>0</v>
      </c>
      <c r="O355" s="141">
        <f>O357</f>
        <v>0</v>
      </c>
      <c r="P355" s="362" t="b">
        <f t="shared" si="36"/>
        <v>1</v>
      </c>
      <c r="Q355" s="137"/>
      <c r="R355" s="137"/>
      <c r="S355" s="137"/>
      <c r="T355" s="138"/>
      <c r="U355" s="137"/>
    </row>
    <row r="356" spans="1:21" s="86" customFormat="1" ht="90">
      <c r="A356" s="137" t="s">
        <v>776</v>
      </c>
      <c r="B356" s="367" t="s">
        <v>777</v>
      </c>
      <c r="C356" s="364" t="s">
        <v>22</v>
      </c>
      <c r="D356" s="364">
        <v>1</v>
      </c>
      <c r="E356" s="365">
        <f>K356+L356+M356+N356+O356</f>
        <v>59610</v>
      </c>
      <c r="F356" s="364" t="s">
        <v>731</v>
      </c>
      <c r="G356" s="364" t="s">
        <v>725</v>
      </c>
      <c r="H356" s="364" t="s">
        <v>726</v>
      </c>
      <c r="I356" s="364" t="s">
        <v>375</v>
      </c>
      <c r="J356" s="364" t="s">
        <v>734</v>
      </c>
      <c r="K356" s="366"/>
      <c r="L356" s="366"/>
      <c r="M356" s="366">
        <v>10000</v>
      </c>
      <c r="N356" s="366">
        <f>10000+1000</f>
        <v>11000</v>
      </c>
      <c r="O356" s="366">
        <v>38610</v>
      </c>
      <c r="P356" s="362" t="b">
        <f t="shared" si="36"/>
        <v>1</v>
      </c>
      <c r="Q356" s="137"/>
      <c r="R356" s="137" t="s">
        <v>735</v>
      </c>
      <c r="S356" s="137" t="s">
        <v>62</v>
      </c>
      <c r="T356" s="138" t="s">
        <v>717</v>
      </c>
      <c r="U356" s="137" t="s">
        <v>736</v>
      </c>
    </row>
    <row r="357" spans="1:21" s="404" customFormat="1" ht="60" customHeight="1">
      <c r="A357" s="410" t="s">
        <v>778</v>
      </c>
      <c r="B357" s="138" t="s">
        <v>779</v>
      </c>
      <c r="C357" s="142" t="s">
        <v>27</v>
      </c>
      <c r="D357" s="142">
        <v>1</v>
      </c>
      <c r="E357" s="363">
        <v>18300</v>
      </c>
      <c r="F357" s="142"/>
      <c r="G357" s="142" t="s">
        <v>780</v>
      </c>
      <c r="H357" s="142" t="s">
        <v>781</v>
      </c>
      <c r="I357" s="142" t="s">
        <v>782</v>
      </c>
      <c r="J357" s="142" t="s">
        <v>98</v>
      </c>
      <c r="K357" s="373">
        <v>18300</v>
      </c>
      <c r="L357" s="141">
        <v>0</v>
      </c>
      <c r="M357" s="141">
        <v>0</v>
      </c>
      <c r="N357" s="141"/>
      <c r="O357" s="141"/>
      <c r="P357" s="362" t="b">
        <f t="shared" si="36"/>
        <v>1</v>
      </c>
      <c r="Q357" s="137"/>
      <c r="R357" s="137" t="s">
        <v>61</v>
      </c>
      <c r="S357" s="137" t="s">
        <v>62</v>
      </c>
      <c r="T357" s="138" t="s">
        <v>63</v>
      </c>
      <c r="U357" s="137" t="s">
        <v>783</v>
      </c>
    </row>
    <row r="358" spans="1:21" s="404" customFormat="1" ht="18.75">
      <c r="A358" s="411" t="s">
        <v>34</v>
      </c>
      <c r="B358" s="138" t="s">
        <v>35</v>
      </c>
      <c r="C358" s="142"/>
      <c r="D358" s="142">
        <v>0</v>
      </c>
      <c r="E358" s="142">
        <v>0</v>
      </c>
      <c r="F358" s="142"/>
      <c r="G358" s="142"/>
      <c r="H358" s="142"/>
      <c r="I358" s="142"/>
      <c r="J358" s="142"/>
      <c r="K358" s="141">
        <v>0</v>
      </c>
      <c r="L358" s="141">
        <v>0</v>
      </c>
      <c r="M358" s="141">
        <v>0</v>
      </c>
      <c r="N358" s="141">
        <v>0</v>
      </c>
      <c r="O358" s="141">
        <v>0</v>
      </c>
      <c r="P358" s="362" t="b">
        <f t="shared" si="36"/>
        <v>1</v>
      </c>
      <c r="Q358" s="137"/>
      <c r="R358" s="137"/>
      <c r="S358" s="137"/>
      <c r="T358" s="138"/>
      <c r="U358" s="137"/>
    </row>
    <row r="359" spans="1:21" s="409" customFormat="1" ht="48.75" customHeight="1">
      <c r="A359" s="62" t="s">
        <v>37</v>
      </c>
      <c r="B359" s="17" t="s">
        <v>38</v>
      </c>
      <c r="C359" s="45" t="s">
        <v>22</v>
      </c>
      <c r="D359" s="45">
        <v>0</v>
      </c>
      <c r="E359" s="19">
        <f>K359+L359+M359+N359+O359</f>
        <v>0</v>
      </c>
      <c r="F359" s="45"/>
      <c r="G359" s="45"/>
      <c r="H359" s="45"/>
      <c r="I359" s="45"/>
      <c r="J359" s="45"/>
      <c r="K359" s="46">
        <v>0</v>
      </c>
      <c r="L359" s="46">
        <f>L361</f>
        <v>0</v>
      </c>
      <c r="M359" s="46">
        <f>M361</f>
        <v>0</v>
      </c>
      <c r="N359" s="46">
        <v>0</v>
      </c>
      <c r="O359" s="46">
        <v>0</v>
      </c>
      <c r="P359" s="362" t="b">
        <f t="shared" si="36"/>
        <v>1</v>
      </c>
      <c r="Q359" s="12"/>
      <c r="R359" s="12" t="s">
        <v>61</v>
      </c>
      <c r="S359" s="12" t="s">
        <v>62</v>
      </c>
      <c r="T359" s="17" t="s">
        <v>63</v>
      </c>
      <c r="U359" s="12"/>
    </row>
    <row r="360" spans="1:21" s="404" customFormat="1" ht="12.75" customHeight="1">
      <c r="A360" s="137"/>
      <c r="B360" s="138" t="s">
        <v>42</v>
      </c>
      <c r="C360" s="142" t="s">
        <v>22</v>
      </c>
      <c r="D360" s="142"/>
      <c r="E360" s="142"/>
      <c r="F360" s="142"/>
      <c r="G360" s="142"/>
      <c r="H360" s="142"/>
      <c r="I360" s="142"/>
      <c r="J360" s="142"/>
      <c r="K360" s="141"/>
      <c r="L360" s="141"/>
      <c r="M360" s="141"/>
      <c r="N360" s="141"/>
      <c r="O360" s="141"/>
      <c r="P360" s="362" t="b">
        <f t="shared" si="36"/>
        <v>1</v>
      </c>
      <c r="Q360" s="137"/>
      <c r="R360" s="137"/>
      <c r="S360" s="137"/>
      <c r="T360" s="138"/>
      <c r="U360" s="137"/>
    </row>
    <row r="361" spans="1:21" s="404" customFormat="1" ht="25.5" customHeight="1">
      <c r="A361" s="137"/>
      <c r="B361" s="138" t="s">
        <v>44</v>
      </c>
      <c r="C361" s="371" t="s">
        <v>27</v>
      </c>
      <c r="D361" s="142"/>
      <c r="E361" s="142">
        <v>0</v>
      </c>
      <c r="F361" s="142"/>
      <c r="G361" s="142"/>
      <c r="H361" s="142"/>
      <c r="I361" s="142"/>
      <c r="J361" s="142"/>
      <c r="K361" s="141"/>
      <c r="L361" s="141">
        <v>0</v>
      </c>
      <c r="M361" s="141">
        <v>0</v>
      </c>
      <c r="N361" s="141"/>
      <c r="O361" s="141"/>
      <c r="P361" s="362" t="b">
        <f t="shared" si="36"/>
        <v>1</v>
      </c>
      <c r="Q361" s="137"/>
      <c r="R361" s="137"/>
      <c r="S361" s="137"/>
      <c r="T361" s="138"/>
      <c r="U361" s="137"/>
    </row>
    <row r="362" spans="1:21" s="404" customFormat="1" ht="88.5" customHeight="1">
      <c r="A362" s="62" t="s">
        <v>39</v>
      </c>
      <c r="B362" s="17" t="s">
        <v>40</v>
      </c>
      <c r="C362" s="45" t="s">
        <v>22</v>
      </c>
      <c r="D362" s="45">
        <f t="shared" ref="D362:O362" si="39">D363+D371</f>
        <v>156.16</v>
      </c>
      <c r="E362" s="45">
        <f t="shared" si="39"/>
        <v>95091.8</v>
      </c>
      <c r="F362" s="45">
        <f t="shared" si="39"/>
        <v>0</v>
      </c>
      <c r="G362" s="45">
        <f t="shared" si="39"/>
        <v>0</v>
      </c>
      <c r="H362" s="45">
        <f t="shared" si="39"/>
        <v>0</v>
      </c>
      <c r="I362" s="45">
        <f t="shared" si="39"/>
        <v>0</v>
      </c>
      <c r="J362" s="45">
        <f t="shared" si="39"/>
        <v>0</v>
      </c>
      <c r="K362" s="46">
        <f t="shared" si="39"/>
        <v>17040.3</v>
      </c>
      <c r="L362" s="45">
        <f t="shared" si="39"/>
        <v>32733.5</v>
      </c>
      <c r="M362" s="45">
        <f t="shared" si="39"/>
        <v>10338</v>
      </c>
      <c r="N362" s="45">
        <f t="shared" si="39"/>
        <v>17516</v>
      </c>
      <c r="O362" s="45">
        <f t="shared" si="39"/>
        <v>17464</v>
      </c>
      <c r="P362" s="362" t="b">
        <f t="shared" si="36"/>
        <v>1</v>
      </c>
      <c r="Q362" s="12"/>
      <c r="R362" s="12" t="s">
        <v>61</v>
      </c>
      <c r="S362" s="12" t="s">
        <v>62</v>
      </c>
      <c r="T362" s="17" t="s">
        <v>63</v>
      </c>
      <c r="U362" s="24"/>
    </row>
    <row r="363" spans="1:21" s="409" customFormat="1" ht="57" customHeight="1">
      <c r="A363" s="412" t="s">
        <v>41</v>
      </c>
      <c r="B363" s="408" t="s">
        <v>42</v>
      </c>
      <c r="C363" s="407" t="s">
        <v>22</v>
      </c>
      <c r="D363" s="134">
        <f>13+3</f>
        <v>16</v>
      </c>
      <c r="E363" s="373">
        <f>K363+L363+M363+N363+O363</f>
        <v>71915.3</v>
      </c>
      <c r="F363" s="134"/>
      <c r="G363" s="134"/>
      <c r="H363" s="134"/>
      <c r="I363" s="134"/>
      <c r="J363" s="134"/>
      <c r="K363" s="373">
        <f>K364+K365+K366+K367+K368+K370</f>
        <v>17040.3</v>
      </c>
      <c r="L363" s="373">
        <f>L364+L365+L366+L367+L368+L369+L370</f>
        <v>19318</v>
      </c>
      <c r="M363" s="373">
        <v>9118</v>
      </c>
      <c r="N363" s="373">
        <f>16950-461</f>
        <v>16489</v>
      </c>
      <c r="O363" s="373">
        <v>9950</v>
      </c>
      <c r="P363" s="362" t="b">
        <f t="shared" si="36"/>
        <v>1</v>
      </c>
      <c r="Q363" s="132"/>
      <c r="R363" s="132" t="s">
        <v>61</v>
      </c>
      <c r="S363" s="132" t="s">
        <v>62</v>
      </c>
      <c r="T363" s="408" t="s">
        <v>63</v>
      </c>
      <c r="U363" s="132" t="s">
        <v>758</v>
      </c>
    </row>
    <row r="364" spans="1:21" s="404" customFormat="1" ht="57" customHeight="1">
      <c r="A364" s="379" t="s">
        <v>527</v>
      </c>
      <c r="B364" s="61" t="s">
        <v>784</v>
      </c>
      <c r="C364" s="371" t="s">
        <v>22</v>
      </c>
      <c r="D364" s="142">
        <v>1</v>
      </c>
      <c r="E364" s="413">
        <f t="shared" ref="E364:E370" si="40">K364+L364+M364+N364+O364</f>
        <v>356</v>
      </c>
      <c r="F364" s="142" t="s">
        <v>56</v>
      </c>
      <c r="G364" s="142" t="s">
        <v>725</v>
      </c>
      <c r="H364" s="142" t="s">
        <v>785</v>
      </c>
      <c r="I364" s="142" t="s">
        <v>528</v>
      </c>
      <c r="J364" s="142" t="s">
        <v>98</v>
      </c>
      <c r="K364" s="141">
        <v>356</v>
      </c>
      <c r="L364" s="141"/>
      <c r="M364" s="141"/>
      <c r="N364" s="141"/>
      <c r="O364" s="141"/>
      <c r="P364" s="362" t="b">
        <f t="shared" si="36"/>
        <v>1</v>
      </c>
      <c r="Q364" s="137"/>
      <c r="R364" s="137"/>
      <c r="S364" s="137"/>
      <c r="T364" s="138"/>
      <c r="U364" s="137"/>
    </row>
    <row r="365" spans="1:21" s="404" customFormat="1" ht="57" customHeight="1">
      <c r="A365" s="379" t="s">
        <v>786</v>
      </c>
      <c r="B365" s="61" t="s">
        <v>787</v>
      </c>
      <c r="C365" s="371" t="s">
        <v>22</v>
      </c>
      <c r="D365" s="142">
        <v>1</v>
      </c>
      <c r="E365" s="413">
        <f t="shared" si="40"/>
        <v>6453</v>
      </c>
      <c r="F365" s="142" t="s">
        <v>56</v>
      </c>
      <c r="G365" s="142" t="s">
        <v>725</v>
      </c>
      <c r="H365" s="142" t="s">
        <v>785</v>
      </c>
      <c r="I365" s="142" t="s">
        <v>528</v>
      </c>
      <c r="J365" s="142" t="s">
        <v>98</v>
      </c>
      <c r="K365" s="141">
        <v>6453</v>
      </c>
      <c r="L365" s="141"/>
      <c r="M365" s="141"/>
      <c r="N365" s="141"/>
      <c r="O365" s="141"/>
      <c r="P365" s="362" t="b">
        <f t="shared" si="36"/>
        <v>1</v>
      </c>
      <c r="Q365" s="137"/>
      <c r="R365" s="137"/>
      <c r="S365" s="137"/>
      <c r="T365" s="138" t="s">
        <v>63</v>
      </c>
      <c r="U365" s="137"/>
    </row>
    <row r="366" spans="1:21" s="404" customFormat="1" ht="57" customHeight="1">
      <c r="A366" s="379" t="s">
        <v>788</v>
      </c>
      <c r="B366" s="414" t="s">
        <v>789</v>
      </c>
      <c r="C366" s="371" t="s">
        <v>22</v>
      </c>
      <c r="D366" s="142">
        <v>1</v>
      </c>
      <c r="E366" s="413">
        <f t="shared" si="40"/>
        <v>614</v>
      </c>
      <c r="F366" s="142" t="s">
        <v>56</v>
      </c>
      <c r="G366" s="142" t="s">
        <v>725</v>
      </c>
      <c r="H366" s="142" t="s">
        <v>785</v>
      </c>
      <c r="I366" s="142" t="s">
        <v>528</v>
      </c>
      <c r="J366" s="142" t="s">
        <v>98</v>
      </c>
      <c r="K366" s="141">
        <v>614</v>
      </c>
      <c r="L366" s="141"/>
      <c r="M366" s="141"/>
      <c r="N366" s="141"/>
      <c r="O366" s="141"/>
      <c r="P366" s="362" t="b">
        <f t="shared" si="36"/>
        <v>1</v>
      </c>
      <c r="Q366" s="137"/>
      <c r="R366" s="137"/>
      <c r="S366" s="137"/>
      <c r="T366" s="138" t="s">
        <v>63</v>
      </c>
      <c r="U366" s="137"/>
    </row>
    <row r="367" spans="1:21" s="404" customFormat="1" ht="57" customHeight="1">
      <c r="A367" s="379" t="s">
        <v>790</v>
      </c>
      <c r="B367" s="414" t="s">
        <v>791</v>
      </c>
      <c r="C367" s="371" t="s">
        <v>22</v>
      </c>
      <c r="D367" s="142">
        <v>1</v>
      </c>
      <c r="E367" s="413">
        <f t="shared" si="40"/>
        <v>3201</v>
      </c>
      <c r="F367" s="142" t="s">
        <v>56</v>
      </c>
      <c r="G367" s="142" t="s">
        <v>725</v>
      </c>
      <c r="H367" s="142" t="s">
        <v>785</v>
      </c>
      <c r="I367" s="142" t="s">
        <v>528</v>
      </c>
      <c r="J367" s="142" t="s">
        <v>98</v>
      </c>
      <c r="K367" s="141">
        <v>3201</v>
      </c>
      <c r="L367" s="141"/>
      <c r="M367" s="141"/>
      <c r="N367" s="141"/>
      <c r="O367" s="141"/>
      <c r="P367" s="362" t="b">
        <f t="shared" si="36"/>
        <v>1</v>
      </c>
      <c r="Q367" s="137"/>
      <c r="R367" s="137"/>
      <c r="S367" s="137"/>
      <c r="T367" s="138" t="s">
        <v>63</v>
      </c>
      <c r="U367" s="137"/>
    </row>
    <row r="368" spans="1:21" s="404" customFormat="1" ht="57" customHeight="1">
      <c r="A368" s="379" t="s">
        <v>792</v>
      </c>
      <c r="B368" s="414" t="s">
        <v>793</v>
      </c>
      <c r="C368" s="371" t="s">
        <v>22</v>
      </c>
      <c r="D368" s="142">
        <v>1</v>
      </c>
      <c r="E368" s="413">
        <f t="shared" si="40"/>
        <v>4416.3</v>
      </c>
      <c r="F368" s="142" t="s">
        <v>56</v>
      </c>
      <c r="G368" s="142" t="s">
        <v>725</v>
      </c>
      <c r="H368" s="142" t="s">
        <v>785</v>
      </c>
      <c r="I368" s="142" t="s">
        <v>528</v>
      </c>
      <c r="J368" s="142" t="s">
        <v>98</v>
      </c>
      <c r="K368" s="141">
        <v>4416.3</v>
      </c>
      <c r="L368" s="141"/>
      <c r="M368" s="141"/>
      <c r="N368" s="141"/>
      <c r="O368" s="141"/>
      <c r="P368" s="362" t="b">
        <f t="shared" si="36"/>
        <v>1</v>
      </c>
      <c r="Q368" s="137"/>
      <c r="R368" s="137"/>
      <c r="S368" s="137"/>
      <c r="T368" s="138" t="s">
        <v>63</v>
      </c>
      <c r="U368" s="137"/>
    </row>
    <row r="369" spans="1:21" s="404" customFormat="1" ht="57" customHeight="1">
      <c r="A369" s="379"/>
      <c r="B369" s="414" t="s">
        <v>794</v>
      </c>
      <c r="C369" s="371" t="s">
        <v>22</v>
      </c>
      <c r="D369" s="142">
        <v>1</v>
      </c>
      <c r="E369" s="413">
        <f t="shared" si="40"/>
        <v>10955</v>
      </c>
      <c r="F369" s="142" t="s">
        <v>56</v>
      </c>
      <c r="G369" s="142" t="s">
        <v>725</v>
      </c>
      <c r="H369" s="142" t="s">
        <v>785</v>
      </c>
      <c r="I369" s="142" t="s">
        <v>91</v>
      </c>
      <c r="J369" s="142" t="s">
        <v>92</v>
      </c>
      <c r="K369" s="141"/>
      <c r="L369" s="373">
        <v>10955</v>
      </c>
      <c r="M369" s="141"/>
      <c r="N369" s="141"/>
      <c r="O369" s="141"/>
      <c r="P369" s="362" t="b">
        <f t="shared" si="36"/>
        <v>1</v>
      </c>
      <c r="Q369" s="137"/>
      <c r="R369" s="137"/>
      <c r="S369" s="137"/>
      <c r="T369" s="138"/>
      <c r="U369" s="137"/>
    </row>
    <row r="370" spans="1:21" s="404" customFormat="1" ht="57" customHeight="1">
      <c r="A370" s="379"/>
      <c r="B370" s="414" t="s">
        <v>795</v>
      </c>
      <c r="C370" s="371"/>
      <c r="D370" s="142"/>
      <c r="E370" s="141">
        <f t="shared" si="40"/>
        <v>10363</v>
      </c>
      <c r="F370" s="142"/>
      <c r="G370" s="142"/>
      <c r="H370" s="142"/>
      <c r="I370" s="142"/>
      <c r="J370" s="142"/>
      <c r="K370" s="141">
        <v>2000</v>
      </c>
      <c r="L370" s="141">
        <v>8363</v>
      </c>
      <c r="M370" s="141"/>
      <c r="N370" s="141"/>
      <c r="O370" s="141"/>
      <c r="P370" s="362" t="b">
        <f t="shared" si="36"/>
        <v>1</v>
      </c>
      <c r="Q370" s="137"/>
      <c r="R370" s="137"/>
      <c r="S370" s="137"/>
      <c r="T370" s="138"/>
      <c r="U370" s="137"/>
    </row>
    <row r="371" spans="1:21" s="404" customFormat="1" ht="61.5" customHeight="1">
      <c r="A371" s="379" t="s">
        <v>43</v>
      </c>
      <c r="B371" s="138" t="s">
        <v>44</v>
      </c>
      <c r="C371" s="371" t="s">
        <v>27</v>
      </c>
      <c r="D371" s="371">
        <v>140.16</v>
      </c>
      <c r="E371" s="141">
        <f>K371+L371+M371+N371+O371</f>
        <v>23176.5</v>
      </c>
      <c r="F371" s="371"/>
      <c r="G371" s="371"/>
      <c r="H371" s="371"/>
      <c r="I371" s="371"/>
      <c r="J371" s="371"/>
      <c r="K371" s="141">
        <v>0</v>
      </c>
      <c r="L371" s="141">
        <v>13415.5</v>
      </c>
      <c r="M371" s="141">
        <v>1220</v>
      </c>
      <c r="N371" s="141">
        <v>1027</v>
      </c>
      <c r="O371" s="141">
        <v>7514</v>
      </c>
      <c r="P371" s="362" t="b">
        <f t="shared" si="36"/>
        <v>1</v>
      </c>
      <c r="Q371" s="137"/>
      <c r="R371" s="137" t="s">
        <v>61</v>
      </c>
      <c r="S371" s="137" t="s">
        <v>62</v>
      </c>
      <c r="T371" s="138" t="s">
        <v>63</v>
      </c>
      <c r="U371" s="137" t="s">
        <v>796</v>
      </c>
    </row>
    <row r="372" spans="1:21" s="404" customFormat="1" ht="81.75" customHeight="1">
      <c r="A372" s="415" t="s">
        <v>797</v>
      </c>
      <c r="B372" s="17" t="s">
        <v>45</v>
      </c>
      <c r="C372" s="47" t="s">
        <v>152</v>
      </c>
      <c r="D372" s="47">
        <v>6</v>
      </c>
      <c r="E372" s="47">
        <f>K372+L372+M372+N372+O372</f>
        <v>14548</v>
      </c>
      <c r="F372" s="47"/>
      <c r="G372" s="47"/>
      <c r="H372" s="47"/>
      <c r="I372" s="47"/>
      <c r="J372" s="47"/>
      <c r="K372" s="416">
        <v>6548</v>
      </c>
      <c r="L372" s="416">
        <v>2000</v>
      </c>
      <c r="M372" s="416">
        <v>2000</v>
      </c>
      <c r="N372" s="416">
        <v>2000</v>
      </c>
      <c r="O372" s="416">
        <v>2000</v>
      </c>
      <c r="P372" s="362" t="b">
        <f t="shared" si="36"/>
        <v>1</v>
      </c>
      <c r="Q372" s="24"/>
      <c r="R372" s="24" t="s">
        <v>61</v>
      </c>
      <c r="S372" s="24" t="s">
        <v>62</v>
      </c>
      <c r="T372" s="23" t="s">
        <v>63</v>
      </c>
      <c r="U372" s="24"/>
    </row>
    <row r="373" spans="1:21" s="404" customFormat="1" ht="54.75" customHeight="1">
      <c r="A373" s="62" t="s">
        <v>798</v>
      </c>
      <c r="B373" s="17" t="s">
        <v>46</v>
      </c>
      <c r="C373" s="47" t="s">
        <v>799</v>
      </c>
      <c r="D373" s="47">
        <v>4</v>
      </c>
      <c r="E373" s="25">
        <f>K373+L373+M373+N373+O373</f>
        <v>30959</v>
      </c>
      <c r="F373" s="47"/>
      <c r="G373" s="47"/>
      <c r="H373" s="47"/>
      <c r="I373" s="47"/>
      <c r="J373" s="47"/>
      <c r="K373" s="46">
        <v>5113</v>
      </c>
      <c r="L373" s="46">
        <v>3620</v>
      </c>
      <c r="M373" s="46">
        <v>500</v>
      </c>
      <c r="N373" s="46">
        <v>10512</v>
      </c>
      <c r="O373" s="46">
        <v>11214</v>
      </c>
      <c r="P373" s="362" t="b">
        <f t="shared" si="36"/>
        <v>1</v>
      </c>
      <c r="Q373" s="24"/>
      <c r="R373" s="24" t="s">
        <v>61</v>
      </c>
      <c r="S373" s="24" t="s">
        <v>62</v>
      </c>
      <c r="T373" s="23"/>
      <c r="U373" s="24"/>
    </row>
    <row r="374" spans="1:21" s="404" customFormat="1" ht="18.75">
      <c r="A374" s="62" t="s">
        <v>800</v>
      </c>
      <c r="B374" s="17" t="s">
        <v>47</v>
      </c>
      <c r="C374" s="47" t="s">
        <v>22</v>
      </c>
      <c r="D374" s="47">
        <v>95</v>
      </c>
      <c r="E374" s="25">
        <f>K374+L374+M374+N374+O374</f>
        <v>3290</v>
      </c>
      <c r="F374" s="19"/>
      <c r="G374" s="19"/>
      <c r="H374" s="19"/>
      <c r="I374" s="19"/>
      <c r="J374" s="19"/>
      <c r="K374" s="19">
        <v>400</v>
      </c>
      <c r="L374" s="19">
        <v>700</v>
      </c>
      <c r="M374" s="19">
        <v>720</v>
      </c>
      <c r="N374" s="19">
        <v>730</v>
      </c>
      <c r="O374" s="19">
        <v>740</v>
      </c>
      <c r="P374" s="362" t="b">
        <f t="shared" si="36"/>
        <v>1</v>
      </c>
      <c r="Q374" s="24"/>
      <c r="R374" s="12" t="s">
        <v>153</v>
      </c>
      <c r="S374" s="24" t="s">
        <v>62</v>
      </c>
      <c r="T374" s="23"/>
      <c r="U374" s="24"/>
    </row>
    <row r="375" spans="1:21" s="404" customFormat="1" ht="18.75">
      <c r="A375" s="62" t="s">
        <v>801</v>
      </c>
      <c r="B375" s="17" t="s">
        <v>48</v>
      </c>
      <c r="C375" s="47" t="s">
        <v>22</v>
      </c>
      <c r="D375" s="47">
        <v>0</v>
      </c>
      <c r="E375" s="25">
        <v>0</v>
      </c>
      <c r="F375" s="47"/>
      <c r="G375" s="47"/>
      <c r="H375" s="47"/>
      <c r="I375" s="47"/>
      <c r="J375" s="47"/>
      <c r="K375" s="48">
        <v>0</v>
      </c>
      <c r="L375" s="48">
        <v>0</v>
      </c>
      <c r="M375" s="48">
        <v>0</v>
      </c>
      <c r="N375" s="48">
        <v>0</v>
      </c>
      <c r="O375" s="48">
        <v>0</v>
      </c>
      <c r="P375" s="362" t="b">
        <f t="shared" si="36"/>
        <v>1</v>
      </c>
      <c r="Q375" s="24"/>
      <c r="R375" s="24"/>
      <c r="S375" s="24"/>
      <c r="T375" s="23"/>
      <c r="U375" s="24"/>
    </row>
    <row r="376" spans="1:21" s="404" customFormat="1" ht="63">
      <c r="A376" s="62" t="s">
        <v>802</v>
      </c>
      <c r="B376" s="17" t="s">
        <v>49</v>
      </c>
      <c r="C376" s="47" t="s">
        <v>22</v>
      </c>
      <c r="D376" s="45">
        <v>21</v>
      </c>
      <c r="E376" s="19">
        <f>K376+L376+M376+N376+O376</f>
        <v>28800</v>
      </c>
      <c r="F376" s="45"/>
      <c r="G376" s="45"/>
      <c r="H376" s="45"/>
      <c r="I376" s="45"/>
      <c r="J376" s="45"/>
      <c r="K376" s="46">
        <v>4000</v>
      </c>
      <c r="L376" s="46">
        <v>5000</v>
      </c>
      <c r="M376" s="46">
        <v>5000</v>
      </c>
      <c r="N376" s="46">
        <v>7400</v>
      </c>
      <c r="O376" s="46">
        <v>7400</v>
      </c>
      <c r="P376" s="362" t="b">
        <f t="shared" si="36"/>
        <v>1</v>
      </c>
      <c r="Q376" s="24"/>
      <c r="R376" s="24" t="s">
        <v>61</v>
      </c>
      <c r="S376" s="24" t="s">
        <v>62</v>
      </c>
      <c r="T376" s="23" t="s">
        <v>63</v>
      </c>
      <c r="U376" s="24"/>
    </row>
    <row r="377" spans="1:21" s="86" customFormat="1" ht="63">
      <c r="A377" s="62" t="s">
        <v>803</v>
      </c>
      <c r="B377" s="17" t="s">
        <v>50</v>
      </c>
      <c r="C377" s="47" t="s">
        <v>22</v>
      </c>
      <c r="D377" s="45">
        <v>186</v>
      </c>
      <c r="E377" s="19">
        <f>K377+L377+M377+N377+O377</f>
        <v>14230</v>
      </c>
      <c r="F377" s="45"/>
      <c r="G377" s="45"/>
      <c r="H377" s="45"/>
      <c r="I377" s="45"/>
      <c r="J377" s="45"/>
      <c r="K377" s="45">
        <f>1500*0.9</f>
        <v>1350</v>
      </c>
      <c r="L377" s="45">
        <v>3220</v>
      </c>
      <c r="M377" s="45">
        <v>3220</v>
      </c>
      <c r="N377" s="45">
        <v>3220</v>
      </c>
      <c r="O377" s="45">
        <v>3220</v>
      </c>
      <c r="P377" s="362" t="b">
        <f t="shared" si="36"/>
        <v>1</v>
      </c>
      <c r="Q377" s="24"/>
      <c r="R377" s="24" t="s">
        <v>61</v>
      </c>
      <c r="S377" s="24" t="s">
        <v>62</v>
      </c>
      <c r="T377" s="23" t="s">
        <v>63</v>
      </c>
      <c r="U377" s="24"/>
    </row>
    <row r="378" spans="1:21" s="404" customFormat="1" ht="21.75" customHeight="1" thickBot="1">
      <c r="A378" s="417"/>
      <c r="B378" s="77" t="s">
        <v>4</v>
      </c>
      <c r="C378" s="78"/>
      <c r="D378" s="78">
        <f>D377+D376+D375+D374+D373+D372+D362+D359+D334+D329</f>
        <v>474.15999999999997</v>
      </c>
      <c r="E378" s="78">
        <f>E377+E376+E375+E374+E373+E372+E362+E359+E334+E329</f>
        <v>703843.76</v>
      </c>
      <c r="F378" s="78"/>
      <c r="G378" s="78"/>
      <c r="H378" s="78"/>
      <c r="I378" s="78"/>
      <c r="J378" s="78"/>
      <c r="K378" s="418">
        <f>K377+K376+K375+K374+K373+K372+K362+K359+K334+K329</f>
        <v>144568.6</v>
      </c>
      <c r="L378" s="419">
        <f>L377+L376+L375+L374+L373+L372+L362+L359+L334+L329</f>
        <v>134906.26</v>
      </c>
      <c r="M378" s="78">
        <f>M377+M376+M375+M374+M373+M372+M362+M359+M334+M329</f>
        <v>241075.9</v>
      </c>
      <c r="N378" s="78">
        <f>N377+N376+N375+N374+N373+N372+N362+N359+N334+N329</f>
        <v>75078</v>
      </c>
      <c r="O378" s="78">
        <f>O377+O376+O375+O374+O373+O372+O362+O359+O334+O329</f>
        <v>108215</v>
      </c>
      <c r="P378" s="362" t="b">
        <f>E378=K378+L378+M378+N378+O378</f>
        <v>1</v>
      </c>
      <c r="Q378" s="420"/>
      <c r="R378" s="420"/>
      <c r="S378" s="420"/>
      <c r="T378" s="421"/>
      <c r="U378" s="420"/>
    </row>
    <row r="379" spans="1:21" s="404" customFormat="1" ht="19.5" thickBot="1">
      <c r="A379" s="266" t="s">
        <v>804</v>
      </c>
      <c r="B379" s="267"/>
      <c r="C379" s="267"/>
      <c r="D379" s="267"/>
      <c r="E379" s="267"/>
      <c r="F379" s="267"/>
      <c r="G379" s="267"/>
      <c r="H379" s="267"/>
      <c r="I379" s="267"/>
      <c r="J379" s="267"/>
      <c r="K379" s="267"/>
      <c r="L379" s="267"/>
      <c r="M379" s="267"/>
      <c r="N379" s="267"/>
      <c r="O379" s="267"/>
      <c r="P379" s="267"/>
      <c r="Q379" s="267"/>
      <c r="R379" s="267"/>
      <c r="S379" s="267"/>
      <c r="T379" s="267"/>
      <c r="U379" s="422"/>
    </row>
    <row r="380" spans="1:21" s="404" customFormat="1">
      <c r="A380" s="423" t="s">
        <v>1</v>
      </c>
      <c r="B380" s="424" t="s">
        <v>2</v>
      </c>
      <c r="C380" s="424" t="s">
        <v>3</v>
      </c>
      <c r="D380" s="424" t="s">
        <v>4</v>
      </c>
      <c r="E380" s="424"/>
      <c r="F380" s="424" t="s">
        <v>5</v>
      </c>
      <c r="G380" s="424" t="s">
        <v>6</v>
      </c>
      <c r="H380" s="424"/>
      <c r="I380" s="424" t="s">
        <v>7</v>
      </c>
      <c r="J380" s="424"/>
      <c r="K380" s="425" t="s">
        <v>8</v>
      </c>
      <c r="L380" s="426"/>
      <c r="M380" s="426"/>
      <c r="N380" s="426"/>
      <c r="O380" s="427"/>
      <c r="P380" s="424" t="s">
        <v>9</v>
      </c>
      <c r="Q380" s="424" t="s">
        <v>10</v>
      </c>
      <c r="R380" s="424" t="s">
        <v>11</v>
      </c>
      <c r="S380" s="424" t="s">
        <v>12</v>
      </c>
      <c r="T380" s="428" t="s">
        <v>13</v>
      </c>
      <c r="U380" s="424" t="s">
        <v>14</v>
      </c>
    </row>
    <row r="381" spans="1:21" s="404" customFormat="1" ht="63">
      <c r="A381" s="39"/>
      <c r="B381" s="11"/>
      <c r="C381" s="11"/>
      <c r="D381" s="12" t="s">
        <v>15</v>
      </c>
      <c r="E381" s="12" t="s">
        <v>16</v>
      </c>
      <c r="F381" s="11"/>
      <c r="G381" s="12" t="s">
        <v>17</v>
      </c>
      <c r="H381" s="12" t="s">
        <v>18</v>
      </c>
      <c r="I381" s="12" t="s">
        <v>17</v>
      </c>
      <c r="J381" s="12" t="s">
        <v>18</v>
      </c>
      <c r="K381" s="12">
        <v>2021</v>
      </c>
      <c r="L381" s="12">
        <v>2022</v>
      </c>
      <c r="M381" s="12">
        <v>2023</v>
      </c>
      <c r="N381" s="12">
        <v>2024</v>
      </c>
      <c r="O381" s="12">
        <v>2025</v>
      </c>
      <c r="P381" s="11"/>
      <c r="Q381" s="11"/>
      <c r="R381" s="11"/>
      <c r="S381" s="11"/>
      <c r="T381" s="44"/>
      <c r="U381" s="11"/>
    </row>
    <row r="382" spans="1:21" s="404" customFormat="1">
      <c r="A382" s="15">
        <v>1</v>
      </c>
      <c r="B382" s="12">
        <v>2</v>
      </c>
      <c r="C382" s="12">
        <v>3</v>
      </c>
      <c r="D382" s="12">
        <v>4</v>
      </c>
      <c r="E382" s="15">
        <v>5</v>
      </c>
      <c r="F382" s="12">
        <v>6</v>
      </c>
      <c r="G382" s="12">
        <v>7</v>
      </c>
      <c r="H382" s="12">
        <v>8</v>
      </c>
      <c r="I382" s="15">
        <v>9</v>
      </c>
      <c r="J382" s="12">
        <v>10</v>
      </c>
      <c r="K382" s="12">
        <v>11</v>
      </c>
      <c r="L382" s="12">
        <v>12</v>
      </c>
      <c r="M382" s="15">
        <v>13</v>
      </c>
      <c r="N382" s="12">
        <v>14</v>
      </c>
      <c r="O382" s="12">
        <v>15</v>
      </c>
      <c r="P382" s="11"/>
      <c r="Q382" s="12">
        <v>16</v>
      </c>
      <c r="R382" s="12">
        <v>17</v>
      </c>
      <c r="S382" s="12">
        <v>18</v>
      </c>
      <c r="T382" s="17">
        <v>20</v>
      </c>
      <c r="U382" s="12">
        <v>21</v>
      </c>
    </row>
    <row r="383" spans="1:21" s="404" customFormat="1" ht="16.5">
      <c r="A383" s="12">
        <v>1</v>
      </c>
      <c r="B383" s="12" t="s">
        <v>52</v>
      </c>
      <c r="C383" s="12"/>
      <c r="D383" s="19">
        <v>0</v>
      </c>
      <c r="E383" s="19">
        <v>0</v>
      </c>
      <c r="F383" s="12"/>
      <c r="G383" s="12"/>
      <c r="H383" s="12"/>
      <c r="I383" s="12"/>
      <c r="J383" s="12"/>
      <c r="K383" s="19">
        <v>0</v>
      </c>
      <c r="L383" s="19">
        <v>0</v>
      </c>
      <c r="M383" s="19">
        <v>0</v>
      </c>
      <c r="N383" s="19">
        <v>0</v>
      </c>
      <c r="O383" s="19">
        <v>0</v>
      </c>
      <c r="P383" s="429" t="b">
        <f t="shared" ref="P383:P441" si="41">E383=K383+L383+M383+N383+O383</f>
        <v>1</v>
      </c>
      <c r="Q383" s="24"/>
      <c r="R383" s="24"/>
      <c r="S383" s="24"/>
      <c r="T383" s="23"/>
      <c r="U383" s="24"/>
    </row>
    <row r="384" spans="1:21" s="404" customFormat="1" ht="16.5">
      <c r="A384" s="24" t="s">
        <v>20</v>
      </c>
      <c r="B384" s="24" t="s">
        <v>21</v>
      </c>
      <c r="C384" s="24" t="s">
        <v>22</v>
      </c>
      <c r="D384" s="24">
        <v>0</v>
      </c>
      <c r="E384" s="24">
        <v>0</v>
      </c>
      <c r="F384" s="24"/>
      <c r="G384" s="24"/>
      <c r="H384" s="24"/>
      <c r="I384" s="24"/>
      <c r="J384" s="24"/>
      <c r="K384" s="25"/>
      <c r="L384" s="25"/>
      <c r="M384" s="25"/>
      <c r="N384" s="25"/>
      <c r="O384" s="25"/>
      <c r="P384" s="429" t="b">
        <f t="shared" si="41"/>
        <v>1</v>
      </c>
      <c r="Q384" s="24"/>
      <c r="R384" s="24"/>
      <c r="S384" s="24"/>
      <c r="T384" s="23"/>
      <c r="U384" s="24"/>
    </row>
    <row r="385" spans="1:21" s="404" customFormat="1" ht="16.5">
      <c r="A385" s="24" t="s">
        <v>25</v>
      </c>
      <c r="B385" s="24" t="s">
        <v>26</v>
      </c>
      <c r="C385" s="24" t="s">
        <v>27</v>
      </c>
      <c r="D385" s="24">
        <v>0</v>
      </c>
      <c r="E385" s="24">
        <v>0</v>
      </c>
      <c r="F385" s="24"/>
      <c r="G385" s="24"/>
      <c r="H385" s="24"/>
      <c r="I385" s="24"/>
      <c r="J385" s="24"/>
      <c r="K385" s="25">
        <v>0</v>
      </c>
      <c r="L385" s="25">
        <v>0</v>
      </c>
      <c r="M385" s="25">
        <v>0</v>
      </c>
      <c r="N385" s="25">
        <v>0</v>
      </c>
      <c r="O385" s="25">
        <v>0</v>
      </c>
      <c r="P385" s="429" t="b">
        <f t="shared" si="41"/>
        <v>1</v>
      </c>
      <c r="Q385" s="24"/>
      <c r="R385" s="24"/>
      <c r="S385" s="24"/>
      <c r="T385" s="23"/>
      <c r="U385" s="24"/>
    </row>
    <row r="386" spans="1:21" s="404" customFormat="1" ht="31.5">
      <c r="A386" s="24" t="s">
        <v>28</v>
      </c>
      <c r="B386" s="24" t="s">
        <v>29</v>
      </c>
      <c r="C386" s="24" t="s">
        <v>27</v>
      </c>
      <c r="D386" s="24">
        <v>0</v>
      </c>
      <c r="E386" s="24">
        <v>0</v>
      </c>
      <c r="F386" s="24"/>
      <c r="G386" s="24"/>
      <c r="H386" s="24"/>
      <c r="I386" s="24"/>
      <c r="J386" s="24"/>
      <c r="K386" s="25">
        <v>0</v>
      </c>
      <c r="L386" s="25">
        <v>0</v>
      </c>
      <c r="M386" s="25">
        <v>0</v>
      </c>
      <c r="N386" s="25">
        <v>0</v>
      </c>
      <c r="O386" s="25">
        <v>0</v>
      </c>
      <c r="P386" s="429" t="b">
        <f t="shared" si="41"/>
        <v>1</v>
      </c>
      <c r="Q386" s="24"/>
      <c r="R386" s="24"/>
      <c r="S386" s="24"/>
      <c r="T386" s="23"/>
      <c r="U386" s="24"/>
    </row>
    <row r="387" spans="1:21" s="404" customFormat="1" ht="31.5">
      <c r="A387" s="12" t="s">
        <v>30</v>
      </c>
      <c r="B387" s="12" t="s">
        <v>31</v>
      </c>
      <c r="C387" s="12"/>
      <c r="D387" s="12">
        <f>D388+D402+D415+D419</f>
        <v>22</v>
      </c>
      <c r="E387" s="12">
        <f>E388+E402+E415+E419</f>
        <v>421987.05</v>
      </c>
      <c r="F387" s="12"/>
      <c r="G387" s="12"/>
      <c r="H387" s="12"/>
      <c r="I387" s="12"/>
      <c r="J387" s="12"/>
      <c r="K387" s="19">
        <f>K388+K402+K415+K419</f>
        <v>112024.05</v>
      </c>
      <c r="L387" s="19">
        <f>L388+L402+L415+L419</f>
        <v>50874</v>
      </c>
      <c r="M387" s="19">
        <f>M388+M402+M415+M419</f>
        <v>42170</v>
      </c>
      <c r="N387" s="19">
        <f>N388+N402+N415+N419</f>
        <v>125495</v>
      </c>
      <c r="O387" s="19">
        <f>O388+O402+O415+O419</f>
        <v>91424</v>
      </c>
      <c r="P387" s="429" t="b">
        <f t="shared" si="41"/>
        <v>1</v>
      </c>
      <c r="Q387" s="24"/>
      <c r="R387" s="24"/>
      <c r="S387" s="24"/>
      <c r="T387" s="23"/>
      <c r="U387" s="24"/>
    </row>
    <row r="388" spans="1:21" s="404" customFormat="1" ht="16.5">
      <c r="A388" s="24" t="s">
        <v>32</v>
      </c>
      <c r="B388" s="24" t="s">
        <v>21</v>
      </c>
      <c r="C388" s="24" t="s">
        <v>22</v>
      </c>
      <c r="D388" s="24">
        <f t="shared" ref="D388:E388" si="42">SUM(D389:D401)</f>
        <v>11</v>
      </c>
      <c r="E388" s="24">
        <f t="shared" si="42"/>
        <v>318941.05</v>
      </c>
      <c r="F388" s="24"/>
      <c r="G388" s="24"/>
      <c r="H388" s="24"/>
      <c r="I388" s="24"/>
      <c r="J388" s="24"/>
      <c r="K388" s="25">
        <f t="shared" ref="K388:O388" si="43">SUM(K389:K401)</f>
        <v>81140.05</v>
      </c>
      <c r="L388" s="25">
        <f t="shared" si="43"/>
        <v>31525</v>
      </c>
      <c r="M388" s="25">
        <f t="shared" si="43"/>
        <v>41100</v>
      </c>
      <c r="N388" s="25">
        <f t="shared" si="43"/>
        <v>94887</v>
      </c>
      <c r="O388" s="25">
        <f t="shared" si="43"/>
        <v>70289</v>
      </c>
      <c r="P388" s="429" t="b">
        <f t="shared" si="41"/>
        <v>1</v>
      </c>
      <c r="Q388" s="24"/>
      <c r="R388" s="24"/>
      <c r="S388" s="24"/>
      <c r="T388" s="23"/>
      <c r="U388" s="24"/>
    </row>
    <row r="389" spans="1:21" s="434" customFormat="1" ht="252">
      <c r="A389" s="430" t="s">
        <v>54</v>
      </c>
      <c r="B389" s="306" t="s">
        <v>805</v>
      </c>
      <c r="C389" s="306" t="s">
        <v>22</v>
      </c>
      <c r="D389" s="431"/>
      <c r="E389" s="432">
        <f t="shared" ref="E389:E397" si="44">SUM(K389:O389)</f>
        <v>20635</v>
      </c>
      <c r="F389" s="306" t="s">
        <v>806</v>
      </c>
      <c r="G389" s="306" t="s">
        <v>807</v>
      </c>
      <c r="H389" s="306" t="s">
        <v>808</v>
      </c>
      <c r="I389" s="306" t="s">
        <v>140</v>
      </c>
      <c r="J389" s="306" t="s">
        <v>183</v>
      </c>
      <c r="K389" s="432"/>
      <c r="L389" s="432"/>
      <c r="M389" s="432"/>
      <c r="N389" s="432">
        <v>250</v>
      </c>
      <c r="O389" s="432">
        <v>20385</v>
      </c>
      <c r="P389" s="429" t="b">
        <f t="shared" si="41"/>
        <v>1</v>
      </c>
      <c r="Q389" s="306" t="s">
        <v>362</v>
      </c>
      <c r="R389" s="306" t="s">
        <v>61</v>
      </c>
      <c r="S389" s="306" t="s">
        <v>809</v>
      </c>
      <c r="T389" s="433" t="s">
        <v>810</v>
      </c>
      <c r="U389" s="306" t="s">
        <v>811</v>
      </c>
    </row>
    <row r="390" spans="1:21" s="434" customFormat="1" ht="252">
      <c r="A390" s="430" t="s">
        <v>75</v>
      </c>
      <c r="B390" s="306" t="s">
        <v>812</v>
      </c>
      <c r="C390" s="306" t="s">
        <v>22</v>
      </c>
      <c r="D390" s="435">
        <v>1</v>
      </c>
      <c r="E390" s="432">
        <f t="shared" si="44"/>
        <v>25382</v>
      </c>
      <c r="F390" s="306" t="s">
        <v>806</v>
      </c>
      <c r="G390" s="306" t="s">
        <v>813</v>
      </c>
      <c r="H390" s="306" t="s">
        <v>814</v>
      </c>
      <c r="I390" s="306" t="s">
        <v>104</v>
      </c>
      <c r="J390" s="306" t="s">
        <v>67</v>
      </c>
      <c r="K390" s="432"/>
      <c r="L390" s="432"/>
      <c r="M390" s="432">
        <v>650</v>
      </c>
      <c r="N390" s="432">
        <f>23732+1000</f>
        <v>24732</v>
      </c>
      <c r="O390" s="432">
        <v>0</v>
      </c>
      <c r="P390" s="429" t="b">
        <f t="shared" si="41"/>
        <v>1</v>
      </c>
      <c r="Q390" s="306" t="s">
        <v>362</v>
      </c>
      <c r="R390" s="306" t="s">
        <v>61</v>
      </c>
      <c r="S390" s="306" t="s">
        <v>815</v>
      </c>
      <c r="T390" s="433" t="s">
        <v>810</v>
      </c>
      <c r="U390" s="306" t="s">
        <v>816</v>
      </c>
    </row>
    <row r="391" spans="1:21" s="434" customFormat="1" ht="299.25">
      <c r="A391" s="436" t="s">
        <v>80</v>
      </c>
      <c r="B391" s="306" t="s">
        <v>817</v>
      </c>
      <c r="C391" s="306" t="s">
        <v>22</v>
      </c>
      <c r="D391" s="306">
        <v>1</v>
      </c>
      <c r="E391" s="432">
        <f t="shared" si="44"/>
        <v>20150</v>
      </c>
      <c r="F391" s="306" t="s">
        <v>56</v>
      </c>
      <c r="G391" s="306" t="s">
        <v>818</v>
      </c>
      <c r="H391" s="306" t="s">
        <v>819</v>
      </c>
      <c r="I391" s="306" t="s">
        <v>140</v>
      </c>
      <c r="J391" s="306" t="s">
        <v>141</v>
      </c>
      <c r="K391" s="432">
        <v>0</v>
      </c>
      <c r="L391" s="432">
        <v>0</v>
      </c>
      <c r="M391" s="432">
        <v>0</v>
      </c>
      <c r="N391" s="432">
        <v>750</v>
      </c>
      <c r="O391" s="432">
        <v>19400</v>
      </c>
      <c r="P391" s="429" t="b">
        <f t="shared" si="41"/>
        <v>1</v>
      </c>
      <c r="Q391" s="306" t="s">
        <v>362</v>
      </c>
      <c r="R391" s="306" t="s">
        <v>61</v>
      </c>
      <c r="S391" s="306" t="s">
        <v>809</v>
      </c>
      <c r="T391" s="433" t="s">
        <v>820</v>
      </c>
      <c r="U391" s="306" t="s">
        <v>821</v>
      </c>
    </row>
    <row r="392" spans="1:21" s="434" customFormat="1" ht="283.5" customHeight="1">
      <c r="A392" s="430" t="s">
        <v>88</v>
      </c>
      <c r="B392" s="306" t="s">
        <v>822</v>
      </c>
      <c r="C392" s="306" t="s">
        <v>22</v>
      </c>
      <c r="D392" s="435">
        <v>1</v>
      </c>
      <c r="E392" s="432">
        <f t="shared" si="44"/>
        <v>34000</v>
      </c>
      <c r="F392" s="306" t="s">
        <v>823</v>
      </c>
      <c r="G392" s="306" t="s">
        <v>818</v>
      </c>
      <c r="H392" s="306" t="s">
        <v>819</v>
      </c>
      <c r="I392" s="306" t="s">
        <v>91</v>
      </c>
      <c r="J392" s="306" t="s">
        <v>67</v>
      </c>
      <c r="K392" s="432">
        <v>0</v>
      </c>
      <c r="L392" s="432">
        <v>9000</v>
      </c>
      <c r="M392" s="432">
        <v>9000</v>
      </c>
      <c r="N392" s="432">
        <f>15000+1000</f>
        <v>16000</v>
      </c>
      <c r="O392" s="432">
        <v>0</v>
      </c>
      <c r="P392" s="429" t="b">
        <f t="shared" si="41"/>
        <v>1</v>
      </c>
      <c r="Q392" s="306" t="s">
        <v>362</v>
      </c>
      <c r="R392" s="306" t="s">
        <v>824</v>
      </c>
      <c r="S392" s="306" t="s">
        <v>809</v>
      </c>
      <c r="T392" s="433" t="s">
        <v>825</v>
      </c>
      <c r="U392" s="306" t="s">
        <v>826</v>
      </c>
    </row>
    <row r="393" spans="1:21" s="434" customFormat="1" ht="267.75">
      <c r="A393" s="437" t="s">
        <v>106</v>
      </c>
      <c r="B393" s="306" t="s">
        <v>827</v>
      </c>
      <c r="C393" s="306" t="s">
        <v>22</v>
      </c>
      <c r="D393" s="435">
        <v>1</v>
      </c>
      <c r="E393" s="432">
        <f t="shared" si="44"/>
        <v>33971</v>
      </c>
      <c r="F393" s="306" t="s">
        <v>823</v>
      </c>
      <c r="G393" s="306" t="s">
        <v>828</v>
      </c>
      <c r="H393" s="306" t="s">
        <v>829</v>
      </c>
      <c r="I393" s="306" t="s">
        <v>104</v>
      </c>
      <c r="J393" s="306" t="s">
        <v>67</v>
      </c>
      <c r="K393" s="432">
        <v>9984</v>
      </c>
      <c r="L393" s="432">
        <v>0</v>
      </c>
      <c r="M393" s="432">
        <v>0</v>
      </c>
      <c r="N393" s="432">
        <v>23987</v>
      </c>
      <c r="O393" s="432">
        <v>0</v>
      </c>
      <c r="P393" s="429" t="b">
        <f t="shared" si="41"/>
        <v>1</v>
      </c>
      <c r="Q393" s="306" t="s">
        <v>362</v>
      </c>
      <c r="R393" s="306" t="s">
        <v>61</v>
      </c>
      <c r="S393" s="306" t="s">
        <v>809</v>
      </c>
      <c r="T393" s="433" t="s">
        <v>830</v>
      </c>
      <c r="U393" s="306" t="s">
        <v>831</v>
      </c>
    </row>
    <row r="394" spans="1:21" s="434" customFormat="1" ht="265.5" customHeight="1">
      <c r="A394" s="300" t="s">
        <v>113</v>
      </c>
      <c r="B394" s="306" t="s">
        <v>832</v>
      </c>
      <c r="C394" s="306" t="s">
        <v>22</v>
      </c>
      <c r="D394" s="306">
        <v>1</v>
      </c>
      <c r="E394" s="432">
        <f t="shared" si="44"/>
        <v>13158</v>
      </c>
      <c r="F394" s="306" t="s">
        <v>56</v>
      </c>
      <c r="G394" s="306" t="s">
        <v>828</v>
      </c>
      <c r="H394" s="306" t="s">
        <v>829</v>
      </c>
      <c r="I394" s="306" t="s">
        <v>66</v>
      </c>
      <c r="J394" s="306" t="s">
        <v>67</v>
      </c>
      <c r="K394" s="432"/>
      <c r="L394" s="432">
        <v>0</v>
      </c>
      <c r="M394" s="432">
        <v>0</v>
      </c>
      <c r="N394" s="432">
        <v>13158</v>
      </c>
      <c r="O394" s="432">
        <v>0</v>
      </c>
      <c r="P394" s="429" t="b">
        <f t="shared" si="41"/>
        <v>1</v>
      </c>
      <c r="Q394" s="306" t="s">
        <v>362</v>
      </c>
      <c r="R394" s="306" t="s">
        <v>61</v>
      </c>
      <c r="S394" s="306">
        <v>1.2</v>
      </c>
      <c r="T394" s="306" t="s">
        <v>833</v>
      </c>
      <c r="U394" s="306" t="s">
        <v>834</v>
      </c>
    </row>
    <row r="395" spans="1:21" s="434" customFormat="1" ht="289.5" customHeight="1">
      <c r="A395" s="437" t="s">
        <v>202</v>
      </c>
      <c r="B395" s="306" t="s">
        <v>835</v>
      </c>
      <c r="C395" s="306" t="s">
        <v>22</v>
      </c>
      <c r="D395" s="435">
        <v>1</v>
      </c>
      <c r="E395" s="432">
        <f t="shared" si="44"/>
        <v>33425</v>
      </c>
      <c r="F395" s="306" t="s">
        <v>823</v>
      </c>
      <c r="G395" s="306" t="s">
        <v>828</v>
      </c>
      <c r="H395" s="306" t="s">
        <v>829</v>
      </c>
      <c r="I395" s="306" t="s">
        <v>104</v>
      </c>
      <c r="J395" s="306" t="s">
        <v>141</v>
      </c>
      <c r="K395" s="432">
        <v>0</v>
      </c>
      <c r="L395" s="432">
        <v>0</v>
      </c>
      <c r="M395" s="432">
        <v>0</v>
      </c>
      <c r="N395" s="432">
        <f>14250+1000</f>
        <v>15250</v>
      </c>
      <c r="O395" s="432">
        <v>18175</v>
      </c>
      <c r="P395" s="429" t="b">
        <f t="shared" si="41"/>
        <v>1</v>
      </c>
      <c r="Q395" s="306" t="s">
        <v>362</v>
      </c>
      <c r="R395" s="306" t="s">
        <v>61</v>
      </c>
      <c r="S395" s="306" t="s">
        <v>809</v>
      </c>
      <c r="T395" s="433" t="s">
        <v>836</v>
      </c>
      <c r="U395" s="306" t="s">
        <v>837</v>
      </c>
    </row>
    <row r="396" spans="1:21" s="434" customFormat="1" ht="267.75">
      <c r="A396" s="437" t="s">
        <v>207</v>
      </c>
      <c r="B396" s="306" t="s">
        <v>838</v>
      </c>
      <c r="C396" s="306" t="s">
        <v>22</v>
      </c>
      <c r="D396" s="435">
        <v>1</v>
      </c>
      <c r="E396" s="432">
        <f t="shared" si="44"/>
        <v>53975</v>
      </c>
      <c r="F396" s="306" t="s">
        <v>823</v>
      </c>
      <c r="G396" s="306" t="s">
        <v>828</v>
      </c>
      <c r="H396" s="306" t="s">
        <v>829</v>
      </c>
      <c r="I396" s="306" t="s">
        <v>91</v>
      </c>
      <c r="J396" s="306" t="s">
        <v>120</v>
      </c>
      <c r="K396" s="432">
        <v>0</v>
      </c>
      <c r="L396" s="432">
        <v>22525</v>
      </c>
      <c r="M396" s="432">
        <v>31450</v>
      </c>
      <c r="N396" s="432">
        <v>0</v>
      </c>
      <c r="O396" s="432">
        <v>0</v>
      </c>
      <c r="P396" s="429" t="b">
        <f t="shared" si="41"/>
        <v>1</v>
      </c>
      <c r="Q396" s="306" t="s">
        <v>362</v>
      </c>
      <c r="R396" s="306" t="s">
        <v>61</v>
      </c>
      <c r="S396" s="306" t="s">
        <v>809</v>
      </c>
      <c r="T396" s="433" t="s">
        <v>839</v>
      </c>
      <c r="U396" s="306" t="s">
        <v>840</v>
      </c>
    </row>
    <row r="397" spans="1:21" s="434" customFormat="1" ht="126">
      <c r="A397" s="438" t="s">
        <v>132</v>
      </c>
      <c r="B397" s="306" t="s">
        <v>841</v>
      </c>
      <c r="C397" s="439" t="s">
        <v>22</v>
      </c>
      <c r="D397" s="439">
        <v>1</v>
      </c>
      <c r="E397" s="432">
        <f t="shared" si="44"/>
        <v>46535</v>
      </c>
      <c r="F397" s="306" t="s">
        <v>823</v>
      </c>
      <c r="G397" s="306" t="s">
        <v>828</v>
      </c>
      <c r="H397" s="306" t="s">
        <v>829</v>
      </c>
      <c r="I397" s="306" t="s">
        <v>97</v>
      </c>
      <c r="J397" s="306" t="s">
        <v>73</v>
      </c>
      <c r="K397" s="432">
        <v>46535</v>
      </c>
      <c r="L397" s="432">
        <v>0</v>
      </c>
      <c r="M397" s="432">
        <v>0</v>
      </c>
      <c r="N397" s="432">
        <v>0</v>
      </c>
      <c r="O397" s="432">
        <v>0</v>
      </c>
      <c r="P397" s="429" t="b">
        <f t="shared" si="41"/>
        <v>1</v>
      </c>
      <c r="R397" s="306" t="s">
        <v>61</v>
      </c>
      <c r="S397" s="306" t="s">
        <v>809</v>
      </c>
      <c r="T397" s="306" t="s">
        <v>842</v>
      </c>
      <c r="U397" s="306" t="s">
        <v>843</v>
      </c>
    </row>
    <row r="398" spans="1:21" s="434" customFormat="1" ht="94.5">
      <c r="A398" s="440"/>
      <c r="B398" s="306" t="s">
        <v>844</v>
      </c>
      <c r="C398" s="441"/>
      <c r="D398" s="441"/>
      <c r="E398" s="432">
        <f>K398</f>
        <v>2694.16</v>
      </c>
      <c r="F398" s="306" t="s">
        <v>823</v>
      </c>
      <c r="G398" s="306" t="s">
        <v>818</v>
      </c>
      <c r="H398" s="306" t="s">
        <v>845</v>
      </c>
      <c r="I398" s="306" t="s">
        <v>528</v>
      </c>
      <c r="J398" s="306" t="s">
        <v>73</v>
      </c>
      <c r="K398" s="432">
        <v>2694.16</v>
      </c>
      <c r="L398" s="432">
        <v>0</v>
      </c>
      <c r="M398" s="432">
        <v>0</v>
      </c>
      <c r="N398" s="432">
        <v>0</v>
      </c>
      <c r="O398" s="432">
        <v>0</v>
      </c>
      <c r="P398" s="429" t="b">
        <f t="shared" si="41"/>
        <v>1</v>
      </c>
      <c r="Q398" s="306" t="s">
        <v>362</v>
      </c>
      <c r="R398" s="306" t="s">
        <v>61</v>
      </c>
      <c r="S398" s="306">
        <v>1.2</v>
      </c>
      <c r="T398" s="306" t="s">
        <v>846</v>
      </c>
      <c r="U398" s="306" t="s">
        <v>847</v>
      </c>
    </row>
    <row r="399" spans="1:21" s="434" customFormat="1" ht="139.5" customHeight="1">
      <c r="A399" s="300" t="s">
        <v>217</v>
      </c>
      <c r="B399" s="306" t="s">
        <v>848</v>
      </c>
      <c r="C399" s="306" t="s">
        <v>22</v>
      </c>
      <c r="D399" s="306">
        <v>1</v>
      </c>
      <c r="E399" s="432">
        <f t="shared" ref="E399" si="45">SUM(K399:O399)</f>
        <v>13089</v>
      </c>
      <c r="F399" s="306" t="s">
        <v>806</v>
      </c>
      <c r="G399" s="306" t="s">
        <v>807</v>
      </c>
      <c r="H399" s="306" t="s">
        <v>808</v>
      </c>
      <c r="I399" s="306" t="s">
        <v>140</v>
      </c>
      <c r="J399" s="306" t="s">
        <v>141</v>
      </c>
      <c r="K399" s="432">
        <v>0</v>
      </c>
      <c r="L399" s="432">
        <v>0</v>
      </c>
      <c r="M399" s="432">
        <v>0</v>
      </c>
      <c r="N399" s="432">
        <v>760</v>
      </c>
      <c r="O399" s="432">
        <f>11329+1000</f>
        <v>12329</v>
      </c>
      <c r="P399" s="429" t="b">
        <f t="shared" si="41"/>
        <v>1</v>
      </c>
      <c r="Q399" s="306" t="s">
        <v>362</v>
      </c>
      <c r="R399" s="306" t="s">
        <v>61</v>
      </c>
      <c r="S399" s="306">
        <v>1.2</v>
      </c>
      <c r="T399" s="433" t="s">
        <v>849</v>
      </c>
      <c r="U399" s="306" t="s">
        <v>850</v>
      </c>
    </row>
    <row r="400" spans="1:21" s="434" customFormat="1" ht="236.25">
      <c r="A400" s="300" t="s">
        <v>222</v>
      </c>
      <c r="B400" s="306" t="s">
        <v>851</v>
      </c>
      <c r="C400" s="306" t="s">
        <v>22</v>
      </c>
      <c r="D400" s="306">
        <v>1</v>
      </c>
      <c r="E400" s="432">
        <v>15710</v>
      </c>
      <c r="F400" s="306" t="s">
        <v>56</v>
      </c>
      <c r="G400" s="306" t="s">
        <v>57</v>
      </c>
      <c r="H400" s="306" t="s">
        <v>740</v>
      </c>
      <c r="I400" s="306" t="s">
        <v>97</v>
      </c>
      <c r="J400" s="306" t="s">
        <v>73</v>
      </c>
      <c r="K400" s="432">
        <v>15710</v>
      </c>
      <c r="L400" s="432">
        <v>0</v>
      </c>
      <c r="M400" s="432">
        <v>0</v>
      </c>
      <c r="N400" s="432">
        <v>0</v>
      </c>
      <c r="O400" s="432">
        <v>0</v>
      </c>
      <c r="P400" s="429" t="b">
        <f t="shared" si="41"/>
        <v>1</v>
      </c>
      <c r="Q400" s="432" t="s">
        <v>362</v>
      </c>
      <c r="R400" s="306" t="s">
        <v>61</v>
      </c>
      <c r="S400" s="306" t="s">
        <v>809</v>
      </c>
      <c r="T400" s="306" t="s">
        <v>852</v>
      </c>
      <c r="U400" s="433" t="s">
        <v>853</v>
      </c>
    </row>
    <row r="401" spans="1:21" s="434" customFormat="1" ht="94.5">
      <c r="A401" s="300" t="s">
        <v>135</v>
      </c>
      <c r="B401" s="306" t="s">
        <v>854</v>
      </c>
      <c r="C401" s="306" t="s">
        <v>22</v>
      </c>
      <c r="D401" s="306">
        <v>1</v>
      </c>
      <c r="E401" s="432">
        <f>K401+L401+M401+N401+O401</f>
        <v>6216.8899999999994</v>
      </c>
      <c r="F401" s="306" t="s">
        <v>823</v>
      </c>
      <c r="G401" s="306" t="s">
        <v>828</v>
      </c>
      <c r="H401" s="306" t="s">
        <v>829</v>
      </c>
      <c r="I401" s="306" t="s">
        <v>97</v>
      </c>
      <c r="J401" s="306" t="s">
        <v>73</v>
      </c>
      <c r="K401" s="432">
        <f>4826.87+1390.02</f>
        <v>6216.8899999999994</v>
      </c>
      <c r="L401" s="432">
        <v>0</v>
      </c>
      <c r="M401" s="432">
        <v>0</v>
      </c>
      <c r="N401" s="432">
        <v>0</v>
      </c>
      <c r="O401" s="432">
        <v>0</v>
      </c>
      <c r="P401" s="429" t="b">
        <f t="shared" si="41"/>
        <v>1</v>
      </c>
      <c r="Q401" s="442" t="s">
        <v>362</v>
      </c>
      <c r="R401" s="306" t="s">
        <v>61</v>
      </c>
      <c r="S401" s="306">
        <v>3</v>
      </c>
      <c r="T401" s="306" t="s">
        <v>855</v>
      </c>
      <c r="U401" s="433" t="s">
        <v>856</v>
      </c>
    </row>
    <row r="402" spans="1:21" s="434" customFormat="1" ht="16.5">
      <c r="A402" s="436" t="s">
        <v>33</v>
      </c>
      <c r="B402" s="306" t="s">
        <v>24</v>
      </c>
      <c r="C402" s="306" t="s">
        <v>22</v>
      </c>
      <c r="D402" s="306">
        <f t="shared" ref="D402:E402" si="46">SUM(D403:D414)</f>
        <v>11</v>
      </c>
      <c r="E402" s="432">
        <f t="shared" si="46"/>
        <v>103046</v>
      </c>
      <c r="F402" s="306">
        <f t="shared" ref="F402:J402" si="47">SUM(F403:F412,F413,F414)</f>
        <v>0</v>
      </c>
      <c r="G402" s="306">
        <f t="shared" si="47"/>
        <v>0</v>
      </c>
      <c r="H402" s="306">
        <f t="shared" si="47"/>
        <v>0</v>
      </c>
      <c r="I402" s="306">
        <f t="shared" si="47"/>
        <v>0</v>
      </c>
      <c r="J402" s="306">
        <f t="shared" si="47"/>
        <v>0</v>
      </c>
      <c r="K402" s="432">
        <f>SUM(K403:K414)</f>
        <v>30884</v>
      </c>
      <c r="L402" s="432">
        <f>SUM(L403:L414)</f>
        <v>19349</v>
      </c>
      <c r="M402" s="432">
        <f t="shared" ref="M402:O402" si="48">SUM(M403:M414)</f>
        <v>1070</v>
      </c>
      <c r="N402" s="432">
        <f t="shared" si="48"/>
        <v>30608</v>
      </c>
      <c r="O402" s="432">
        <f t="shared" si="48"/>
        <v>21135</v>
      </c>
      <c r="P402" s="429" t="b">
        <f t="shared" si="41"/>
        <v>1</v>
      </c>
      <c r="Q402" s="306"/>
      <c r="R402" s="306"/>
      <c r="S402" s="306"/>
      <c r="T402" s="433"/>
      <c r="U402" s="306"/>
    </row>
    <row r="403" spans="1:21" s="434" customFormat="1" ht="173.25">
      <c r="A403" s="436" t="s">
        <v>315</v>
      </c>
      <c r="B403" s="306" t="s">
        <v>857</v>
      </c>
      <c r="C403" s="306" t="s">
        <v>22</v>
      </c>
      <c r="D403" s="439">
        <v>1</v>
      </c>
      <c r="E403" s="432">
        <f>K403+L403+M403+N403+O403</f>
        <v>14886</v>
      </c>
      <c r="F403" s="306" t="s">
        <v>823</v>
      </c>
      <c r="G403" s="306" t="s">
        <v>828</v>
      </c>
      <c r="H403" s="306" t="s">
        <v>829</v>
      </c>
      <c r="I403" s="306" t="s">
        <v>97</v>
      </c>
      <c r="J403" s="306" t="s">
        <v>73</v>
      </c>
      <c r="K403" s="432">
        <v>14886</v>
      </c>
      <c r="L403" s="432">
        <v>0</v>
      </c>
      <c r="M403" s="432">
        <v>0</v>
      </c>
      <c r="N403" s="432">
        <v>0</v>
      </c>
      <c r="O403" s="432">
        <v>0</v>
      </c>
      <c r="P403" s="429" t="b">
        <f t="shared" si="41"/>
        <v>1</v>
      </c>
      <c r="Q403" s="306">
        <v>6</v>
      </c>
      <c r="R403" s="306" t="s">
        <v>715</v>
      </c>
      <c r="S403" s="306" t="s">
        <v>858</v>
      </c>
      <c r="T403" s="433" t="s">
        <v>859</v>
      </c>
      <c r="U403" s="306" t="s">
        <v>860</v>
      </c>
    </row>
    <row r="404" spans="1:21" s="434" customFormat="1" ht="141.75">
      <c r="A404" s="436" t="s">
        <v>144</v>
      </c>
      <c r="B404" s="433" t="s">
        <v>861</v>
      </c>
      <c r="C404" s="306" t="s">
        <v>22</v>
      </c>
      <c r="D404" s="441"/>
      <c r="E404" s="432">
        <f>K404+L404+M404+N404+O404</f>
        <v>16834</v>
      </c>
      <c r="F404" s="306" t="s">
        <v>806</v>
      </c>
      <c r="G404" s="306" t="s">
        <v>862</v>
      </c>
      <c r="H404" s="306" t="s">
        <v>863</v>
      </c>
      <c r="I404" s="306" t="s">
        <v>91</v>
      </c>
      <c r="J404" s="306" t="s">
        <v>108</v>
      </c>
      <c r="K404" s="432"/>
      <c r="L404" s="432">
        <f>17121-250-37</f>
        <v>16834</v>
      </c>
      <c r="M404" s="432">
        <v>0</v>
      </c>
      <c r="N404" s="432">
        <v>0</v>
      </c>
      <c r="O404" s="432">
        <v>0</v>
      </c>
      <c r="P404" s="429" t="b">
        <f t="shared" si="41"/>
        <v>1</v>
      </c>
      <c r="Q404" s="306" t="s">
        <v>362</v>
      </c>
      <c r="R404" s="306" t="s">
        <v>61</v>
      </c>
      <c r="S404" s="306" t="s">
        <v>858</v>
      </c>
      <c r="T404" s="433" t="s">
        <v>864</v>
      </c>
      <c r="U404" s="306" t="s">
        <v>865</v>
      </c>
    </row>
    <row r="405" spans="1:21" s="434" customFormat="1" ht="141.75">
      <c r="A405" s="436" t="s">
        <v>322</v>
      </c>
      <c r="B405" s="433" t="s">
        <v>866</v>
      </c>
      <c r="C405" s="306" t="s">
        <v>22</v>
      </c>
      <c r="D405" s="306">
        <v>1</v>
      </c>
      <c r="E405" s="432">
        <f t="shared" ref="E405:E408" si="49">K405+L405+M405+N405+O405</f>
        <v>15998</v>
      </c>
      <c r="F405" s="306" t="s">
        <v>823</v>
      </c>
      <c r="G405" s="306" t="s">
        <v>828</v>
      </c>
      <c r="H405" s="306" t="s">
        <v>829</v>
      </c>
      <c r="I405" s="306" t="s">
        <v>97</v>
      </c>
      <c r="J405" s="306" t="s">
        <v>73</v>
      </c>
      <c r="K405" s="432">
        <v>15998</v>
      </c>
      <c r="L405" s="432">
        <v>0</v>
      </c>
      <c r="M405" s="432">
        <v>0</v>
      </c>
      <c r="N405" s="432">
        <v>0</v>
      </c>
      <c r="O405" s="432">
        <v>0</v>
      </c>
      <c r="P405" s="429" t="b">
        <f t="shared" si="41"/>
        <v>1</v>
      </c>
      <c r="Q405" s="306" t="s">
        <v>362</v>
      </c>
      <c r="R405" s="306" t="s">
        <v>61</v>
      </c>
      <c r="S405" s="306" t="s">
        <v>867</v>
      </c>
      <c r="T405" s="433" t="s">
        <v>868</v>
      </c>
      <c r="U405" s="306" t="s">
        <v>869</v>
      </c>
    </row>
    <row r="406" spans="1:21" s="434" customFormat="1" ht="78" customHeight="1">
      <c r="A406" s="436" t="s">
        <v>326</v>
      </c>
      <c r="B406" s="433" t="s">
        <v>870</v>
      </c>
      <c r="C406" s="306" t="s">
        <v>22</v>
      </c>
      <c r="D406" s="306">
        <v>1</v>
      </c>
      <c r="E406" s="432">
        <v>1350</v>
      </c>
      <c r="F406" s="306" t="s">
        <v>806</v>
      </c>
      <c r="G406" s="306" t="s">
        <v>862</v>
      </c>
      <c r="H406" s="306" t="s">
        <v>871</v>
      </c>
      <c r="I406" s="306" t="s">
        <v>872</v>
      </c>
      <c r="J406" s="306" t="s">
        <v>108</v>
      </c>
      <c r="K406" s="432"/>
      <c r="L406" s="432">
        <f>E406-K406</f>
        <v>1350</v>
      </c>
      <c r="M406" s="432">
        <v>0</v>
      </c>
      <c r="N406" s="432">
        <v>0</v>
      </c>
      <c r="O406" s="432">
        <v>0</v>
      </c>
      <c r="P406" s="429" t="b">
        <f t="shared" si="41"/>
        <v>1</v>
      </c>
      <c r="Q406" s="306" t="s">
        <v>362</v>
      </c>
      <c r="R406" s="306" t="s">
        <v>61</v>
      </c>
      <c r="S406" s="306">
        <v>1.2</v>
      </c>
      <c r="T406" s="433" t="s">
        <v>873</v>
      </c>
      <c r="U406" s="306" t="s">
        <v>874</v>
      </c>
    </row>
    <row r="407" spans="1:21" s="434" customFormat="1" ht="177" customHeight="1">
      <c r="A407" s="436" t="s">
        <v>330</v>
      </c>
      <c r="B407" s="433" t="s">
        <v>875</v>
      </c>
      <c r="C407" s="306" t="s">
        <v>22</v>
      </c>
      <c r="D407" s="306">
        <v>1</v>
      </c>
      <c r="E407" s="432">
        <f t="shared" si="49"/>
        <v>25691</v>
      </c>
      <c r="F407" s="306" t="s">
        <v>806</v>
      </c>
      <c r="G407" s="306" t="s">
        <v>813</v>
      </c>
      <c r="H407" s="306" t="s">
        <v>814</v>
      </c>
      <c r="I407" s="306" t="s">
        <v>104</v>
      </c>
      <c r="J407" s="306" t="s">
        <v>67</v>
      </c>
      <c r="K407" s="432">
        <v>0</v>
      </c>
      <c r="L407" s="432">
        <v>0</v>
      </c>
      <c r="M407" s="432">
        <v>500</v>
      </c>
      <c r="N407" s="432">
        <f>24191+1000</f>
        <v>25191</v>
      </c>
      <c r="O407" s="432">
        <v>0</v>
      </c>
      <c r="P407" s="429" t="b">
        <f t="shared" si="41"/>
        <v>1</v>
      </c>
      <c r="Q407" s="306" t="s">
        <v>362</v>
      </c>
      <c r="R407" s="306" t="s">
        <v>61</v>
      </c>
      <c r="S407" s="306" t="s">
        <v>858</v>
      </c>
      <c r="T407" s="433" t="s">
        <v>876</v>
      </c>
      <c r="U407" s="306" t="s">
        <v>877</v>
      </c>
    </row>
    <row r="408" spans="1:21" s="434" customFormat="1" ht="173.25">
      <c r="A408" s="436" t="s">
        <v>334</v>
      </c>
      <c r="B408" s="433" t="s">
        <v>878</v>
      </c>
      <c r="C408" s="306" t="s">
        <v>22</v>
      </c>
      <c r="D408" s="306">
        <v>1</v>
      </c>
      <c r="E408" s="432">
        <f t="shared" si="49"/>
        <v>14535</v>
      </c>
      <c r="F408" s="306" t="s">
        <v>823</v>
      </c>
      <c r="G408" s="306" t="s">
        <v>828</v>
      </c>
      <c r="H408" s="306" t="s">
        <v>829</v>
      </c>
      <c r="I408" s="306" t="s">
        <v>140</v>
      </c>
      <c r="J408" s="306" t="s">
        <v>141</v>
      </c>
      <c r="K408" s="432"/>
      <c r="L408" s="432">
        <v>0</v>
      </c>
      <c r="M408" s="432">
        <v>0</v>
      </c>
      <c r="N408" s="432">
        <v>0</v>
      </c>
      <c r="O408" s="432">
        <v>14535</v>
      </c>
      <c r="P408" s="429" t="b">
        <f t="shared" si="41"/>
        <v>1</v>
      </c>
      <c r="Q408" s="306" t="s">
        <v>362</v>
      </c>
      <c r="R408" s="306" t="s">
        <v>61</v>
      </c>
      <c r="S408" s="306" t="s">
        <v>858</v>
      </c>
      <c r="T408" s="433" t="s">
        <v>879</v>
      </c>
      <c r="U408" s="443" t="s">
        <v>880</v>
      </c>
    </row>
    <row r="409" spans="1:21" s="434" customFormat="1" ht="94.5">
      <c r="A409" s="436" t="s">
        <v>337</v>
      </c>
      <c r="B409" s="433" t="s">
        <v>881</v>
      </c>
      <c r="C409" s="306" t="s">
        <v>22</v>
      </c>
      <c r="D409" s="306">
        <v>1</v>
      </c>
      <c r="E409" s="432">
        <f>K409+L409+M409+N409+O409</f>
        <v>1165</v>
      </c>
      <c r="F409" s="306" t="s">
        <v>56</v>
      </c>
      <c r="G409" s="306" t="s">
        <v>862</v>
      </c>
      <c r="H409" s="306" t="s">
        <v>871</v>
      </c>
      <c r="I409" s="306" t="s">
        <v>882</v>
      </c>
      <c r="J409" s="306" t="s">
        <v>108</v>
      </c>
      <c r="K409" s="432"/>
      <c r="L409" s="432">
        <v>1165</v>
      </c>
      <c r="M409" s="432">
        <v>0</v>
      </c>
      <c r="N409" s="432">
        <v>0</v>
      </c>
      <c r="O409" s="432">
        <v>0</v>
      </c>
      <c r="P409" s="429" t="b">
        <f t="shared" si="41"/>
        <v>1</v>
      </c>
      <c r="Q409" s="306" t="s">
        <v>362</v>
      </c>
      <c r="R409" s="306" t="s">
        <v>61</v>
      </c>
      <c r="S409" s="306">
        <v>1.2</v>
      </c>
      <c r="T409" s="433" t="s">
        <v>883</v>
      </c>
      <c r="U409" s="306" t="s">
        <v>884</v>
      </c>
    </row>
    <row r="410" spans="1:21" s="434" customFormat="1" ht="94.5">
      <c r="A410" s="436" t="s">
        <v>341</v>
      </c>
      <c r="B410" s="433" t="s">
        <v>885</v>
      </c>
      <c r="C410" s="306" t="s">
        <v>22</v>
      </c>
      <c r="D410" s="306">
        <v>1</v>
      </c>
      <c r="E410" s="432">
        <f>K410+L410+M410+N410+O410</f>
        <v>1535</v>
      </c>
      <c r="F410" s="306" t="s">
        <v>806</v>
      </c>
      <c r="G410" s="306" t="s">
        <v>813</v>
      </c>
      <c r="H410" s="306" t="s">
        <v>814</v>
      </c>
      <c r="I410" s="306" t="s">
        <v>104</v>
      </c>
      <c r="J410" s="306" t="s">
        <v>67</v>
      </c>
      <c r="K410" s="432"/>
      <c r="L410" s="432"/>
      <c r="M410" s="432">
        <v>85</v>
      </c>
      <c r="N410" s="432">
        <v>1450</v>
      </c>
      <c r="O410" s="432">
        <v>0</v>
      </c>
      <c r="P410" s="429" t="b">
        <f t="shared" si="41"/>
        <v>1</v>
      </c>
      <c r="Q410" s="306" t="s">
        <v>362</v>
      </c>
      <c r="R410" s="306" t="s">
        <v>61</v>
      </c>
      <c r="S410" s="306">
        <v>1.2</v>
      </c>
      <c r="T410" s="433" t="s">
        <v>886</v>
      </c>
      <c r="U410" s="306" t="s">
        <v>887</v>
      </c>
    </row>
    <row r="411" spans="1:21" s="434" customFormat="1" ht="94.5">
      <c r="A411" s="436" t="s">
        <v>345</v>
      </c>
      <c r="B411" s="433" t="s">
        <v>888</v>
      </c>
      <c r="C411" s="306" t="s">
        <v>22</v>
      </c>
      <c r="D411" s="306">
        <v>1</v>
      </c>
      <c r="E411" s="432">
        <f>K411+L411+M411+N411+O411</f>
        <v>1535</v>
      </c>
      <c r="F411" s="306" t="s">
        <v>806</v>
      </c>
      <c r="G411" s="306" t="s">
        <v>813</v>
      </c>
      <c r="H411" s="306" t="s">
        <v>814</v>
      </c>
      <c r="I411" s="306" t="s">
        <v>66</v>
      </c>
      <c r="J411" s="306" t="s">
        <v>67</v>
      </c>
      <c r="K411" s="432"/>
      <c r="L411" s="432"/>
      <c r="M411" s="432">
        <v>85</v>
      </c>
      <c r="N411" s="432">
        <v>1450</v>
      </c>
      <c r="O411" s="432">
        <v>0</v>
      </c>
      <c r="P411" s="429" t="b">
        <f t="shared" si="41"/>
        <v>1</v>
      </c>
      <c r="Q411" s="306" t="s">
        <v>362</v>
      </c>
      <c r="R411" s="306" t="s">
        <v>61</v>
      </c>
      <c r="S411" s="306">
        <v>1.2</v>
      </c>
      <c r="T411" s="433" t="s">
        <v>886</v>
      </c>
      <c r="U411" s="306" t="s">
        <v>889</v>
      </c>
    </row>
    <row r="412" spans="1:21" s="434" customFormat="1" ht="94.5">
      <c r="A412" s="436" t="s">
        <v>349</v>
      </c>
      <c r="B412" s="433" t="s">
        <v>890</v>
      </c>
      <c r="C412" s="306" t="s">
        <v>22</v>
      </c>
      <c r="D412" s="306">
        <v>1</v>
      </c>
      <c r="E412" s="432">
        <f>K412+L412+M412+N412+O412</f>
        <v>1358</v>
      </c>
      <c r="F412" s="306" t="s">
        <v>806</v>
      </c>
      <c r="G412" s="306" t="s">
        <v>891</v>
      </c>
      <c r="H412" s="306" t="s">
        <v>819</v>
      </c>
      <c r="I412" s="306" t="s">
        <v>104</v>
      </c>
      <c r="J412" s="306" t="s">
        <v>67</v>
      </c>
      <c r="K412" s="432"/>
      <c r="L412" s="432">
        <v>0</v>
      </c>
      <c r="M412" s="432">
        <v>0</v>
      </c>
      <c r="N412" s="432">
        <v>1358</v>
      </c>
      <c r="O412" s="432">
        <v>0</v>
      </c>
      <c r="P412" s="429" t="b">
        <f t="shared" si="41"/>
        <v>1</v>
      </c>
      <c r="Q412" s="306" t="s">
        <v>362</v>
      </c>
      <c r="R412" s="306" t="s">
        <v>61</v>
      </c>
      <c r="S412" s="306">
        <v>1.2</v>
      </c>
      <c r="T412" s="433" t="s">
        <v>892</v>
      </c>
      <c r="U412" s="306" t="s">
        <v>893</v>
      </c>
    </row>
    <row r="413" spans="1:21" s="434" customFormat="1" ht="173.25">
      <c r="A413" s="436" t="s">
        <v>894</v>
      </c>
      <c r="B413" s="433" t="s">
        <v>895</v>
      </c>
      <c r="C413" s="306" t="s">
        <v>22</v>
      </c>
      <c r="D413" s="306">
        <v>1</v>
      </c>
      <c r="E413" s="432">
        <v>7400</v>
      </c>
      <c r="F413" s="306" t="s">
        <v>806</v>
      </c>
      <c r="G413" s="306" t="s">
        <v>813</v>
      </c>
      <c r="H413" s="306" t="s">
        <v>814</v>
      </c>
      <c r="I413" s="306" t="s">
        <v>104</v>
      </c>
      <c r="J413" s="306" t="s">
        <v>141</v>
      </c>
      <c r="K413" s="432">
        <v>0</v>
      </c>
      <c r="L413" s="432">
        <v>0</v>
      </c>
      <c r="M413" s="432">
        <v>400</v>
      </c>
      <c r="N413" s="432">
        <v>400</v>
      </c>
      <c r="O413" s="432">
        <v>6600</v>
      </c>
      <c r="P413" s="429" t="b">
        <f t="shared" si="41"/>
        <v>1</v>
      </c>
      <c r="Q413" s="306" t="s">
        <v>362</v>
      </c>
      <c r="R413" s="306" t="s">
        <v>61</v>
      </c>
      <c r="S413" s="306" t="s">
        <v>858</v>
      </c>
      <c r="T413" s="433" t="s">
        <v>879</v>
      </c>
      <c r="U413" s="306" t="s">
        <v>896</v>
      </c>
    </row>
    <row r="414" spans="1:21" s="434" customFormat="1" ht="94.5">
      <c r="A414" s="436" t="s">
        <v>897</v>
      </c>
      <c r="B414" s="433" t="s">
        <v>898</v>
      </c>
      <c r="C414" s="306" t="s">
        <v>22</v>
      </c>
      <c r="D414" s="306">
        <v>1</v>
      </c>
      <c r="E414" s="432">
        <v>759</v>
      </c>
      <c r="F414" s="306" t="s">
        <v>56</v>
      </c>
      <c r="G414" s="306" t="s">
        <v>818</v>
      </c>
      <c r="H414" s="306" t="s">
        <v>819</v>
      </c>
      <c r="I414" s="306" t="s">
        <v>104</v>
      </c>
      <c r="J414" s="306" t="s">
        <v>73</v>
      </c>
      <c r="K414" s="432"/>
      <c r="L414" s="432">
        <v>0</v>
      </c>
      <c r="M414" s="432">
        <v>0</v>
      </c>
      <c r="N414" s="432">
        <v>759</v>
      </c>
      <c r="O414" s="432">
        <v>0</v>
      </c>
      <c r="P414" s="429" t="b">
        <f t="shared" si="41"/>
        <v>1</v>
      </c>
      <c r="Q414" s="306" t="s">
        <v>362</v>
      </c>
      <c r="R414" s="306" t="s">
        <v>61</v>
      </c>
      <c r="S414" s="306">
        <v>1.2</v>
      </c>
      <c r="T414" s="433" t="s">
        <v>899</v>
      </c>
      <c r="U414" s="306" t="s">
        <v>900</v>
      </c>
    </row>
    <row r="415" spans="1:21" s="434" customFormat="1" ht="31.5">
      <c r="A415" s="436" t="s">
        <v>34</v>
      </c>
      <c r="B415" s="306" t="s">
        <v>35</v>
      </c>
      <c r="C415" s="306" t="s">
        <v>27</v>
      </c>
      <c r="D415" s="306">
        <v>0</v>
      </c>
      <c r="E415" s="432">
        <v>0</v>
      </c>
      <c r="F415" s="306"/>
      <c r="G415" s="306"/>
      <c r="H415" s="306"/>
      <c r="I415" s="306"/>
      <c r="J415" s="306"/>
      <c r="K415" s="432">
        <v>0</v>
      </c>
      <c r="L415" s="432">
        <v>0</v>
      </c>
      <c r="M415" s="432">
        <v>0</v>
      </c>
      <c r="N415" s="432">
        <v>0</v>
      </c>
      <c r="O415" s="432">
        <v>0</v>
      </c>
      <c r="P415" s="429" t="b">
        <f t="shared" si="41"/>
        <v>1</v>
      </c>
      <c r="Q415" s="306"/>
      <c r="R415" s="306"/>
      <c r="S415" s="306"/>
      <c r="T415" s="433"/>
      <c r="U415" s="306"/>
    </row>
    <row r="416" spans="1:21" s="434" customFormat="1" ht="16.5">
      <c r="A416" s="306"/>
      <c r="B416" s="306" t="s">
        <v>901</v>
      </c>
      <c r="C416" s="306"/>
      <c r="D416" s="306"/>
      <c r="E416" s="306"/>
      <c r="F416" s="306"/>
      <c r="G416" s="306"/>
      <c r="H416" s="306"/>
      <c r="I416" s="306"/>
      <c r="J416" s="306"/>
      <c r="K416" s="432"/>
      <c r="L416" s="432"/>
      <c r="M416" s="432"/>
      <c r="N416" s="432"/>
      <c r="O416" s="432"/>
      <c r="P416" s="429" t="b">
        <f t="shared" si="41"/>
        <v>1</v>
      </c>
      <c r="Q416" s="306"/>
      <c r="R416" s="306"/>
      <c r="S416" s="306"/>
      <c r="T416" s="433"/>
      <c r="U416" s="306"/>
    </row>
    <row r="417" spans="1:35" s="434" customFormat="1" ht="16.5">
      <c r="A417" s="436" t="s">
        <v>690</v>
      </c>
      <c r="B417" s="306" t="s">
        <v>902</v>
      </c>
      <c r="C417" s="306" t="s">
        <v>27</v>
      </c>
      <c r="D417" s="306"/>
      <c r="E417" s="432"/>
      <c r="F417" s="306"/>
      <c r="G417" s="306"/>
      <c r="H417" s="306"/>
      <c r="I417" s="306"/>
      <c r="J417" s="306"/>
      <c r="K417" s="432"/>
      <c r="L417" s="432"/>
      <c r="M417" s="432"/>
      <c r="N417" s="432"/>
      <c r="O417" s="432"/>
      <c r="P417" s="429" t="b">
        <f t="shared" si="41"/>
        <v>1</v>
      </c>
      <c r="Q417" s="306"/>
      <c r="R417" s="306"/>
      <c r="S417" s="306"/>
      <c r="T417" s="433"/>
      <c r="U417" s="306"/>
    </row>
    <row r="418" spans="1:35" s="444" customFormat="1" ht="36" customHeight="1">
      <c r="A418" s="436" t="s">
        <v>903</v>
      </c>
      <c r="B418" s="306" t="s">
        <v>902</v>
      </c>
      <c r="C418" s="306" t="s">
        <v>27</v>
      </c>
      <c r="D418" s="306"/>
      <c r="E418" s="432"/>
      <c r="F418" s="306"/>
      <c r="G418" s="306"/>
      <c r="H418" s="306"/>
      <c r="I418" s="306"/>
      <c r="J418" s="306"/>
      <c r="K418" s="432"/>
      <c r="L418" s="432"/>
      <c r="M418" s="432"/>
      <c r="N418" s="432"/>
      <c r="O418" s="432"/>
      <c r="P418" s="429" t="b">
        <f t="shared" si="41"/>
        <v>1</v>
      </c>
      <c r="Q418" s="306"/>
      <c r="R418" s="306"/>
      <c r="S418" s="306"/>
      <c r="T418" s="433"/>
      <c r="U418" s="306"/>
      <c r="V418" s="434"/>
      <c r="W418" s="434"/>
      <c r="X418" s="434"/>
      <c r="Y418" s="434"/>
      <c r="Z418" s="434"/>
      <c r="AA418" s="434"/>
      <c r="AB418" s="434"/>
      <c r="AC418" s="434"/>
      <c r="AD418" s="434"/>
      <c r="AE418" s="434"/>
      <c r="AF418" s="434"/>
      <c r="AG418" s="434"/>
      <c r="AH418" s="434"/>
      <c r="AI418" s="434"/>
    </row>
    <row r="419" spans="1:35" s="444" customFormat="1" ht="31.5">
      <c r="A419" s="436" t="s">
        <v>36</v>
      </c>
      <c r="B419" s="306" t="s">
        <v>29</v>
      </c>
      <c r="C419" s="306" t="s">
        <v>27</v>
      </c>
      <c r="D419" s="306">
        <f>D420+D421+D422</f>
        <v>0</v>
      </c>
      <c r="E419" s="306">
        <f t="shared" ref="E419:O419" si="50">E420+E421+E422</f>
        <v>0</v>
      </c>
      <c r="F419" s="306">
        <f t="shared" si="50"/>
        <v>0</v>
      </c>
      <c r="G419" s="306">
        <f t="shared" si="50"/>
        <v>0</v>
      </c>
      <c r="H419" s="306">
        <f t="shared" si="50"/>
        <v>0</v>
      </c>
      <c r="I419" s="306">
        <f t="shared" si="50"/>
        <v>0</v>
      </c>
      <c r="J419" s="306">
        <f t="shared" si="50"/>
        <v>0</v>
      </c>
      <c r="K419" s="306">
        <f t="shared" si="50"/>
        <v>0</v>
      </c>
      <c r="L419" s="306">
        <f t="shared" si="50"/>
        <v>0</v>
      </c>
      <c r="M419" s="306">
        <f t="shared" si="50"/>
        <v>0</v>
      </c>
      <c r="N419" s="306">
        <f t="shared" si="50"/>
        <v>0</v>
      </c>
      <c r="O419" s="306">
        <f t="shared" si="50"/>
        <v>0</v>
      </c>
      <c r="P419" s="429" t="b">
        <f t="shared" si="41"/>
        <v>1</v>
      </c>
      <c r="Q419" s="306"/>
      <c r="R419" s="306"/>
      <c r="S419" s="306"/>
      <c r="T419" s="433"/>
      <c r="U419" s="306"/>
    </row>
    <row r="420" spans="1:35" s="445" customFormat="1" ht="18.75">
      <c r="A420" s="306"/>
      <c r="B420" s="306" t="s">
        <v>901</v>
      </c>
      <c r="C420" s="306"/>
      <c r="D420" s="306"/>
      <c r="E420" s="306"/>
      <c r="F420" s="306"/>
      <c r="G420" s="306"/>
      <c r="H420" s="306"/>
      <c r="I420" s="306"/>
      <c r="J420" s="306"/>
      <c r="K420" s="432"/>
      <c r="L420" s="432"/>
      <c r="M420" s="432"/>
      <c r="N420" s="432"/>
      <c r="O420" s="432"/>
      <c r="P420" s="429" t="b">
        <f t="shared" si="41"/>
        <v>1</v>
      </c>
      <c r="Q420" s="306"/>
      <c r="R420" s="306"/>
      <c r="S420" s="306"/>
      <c r="T420" s="433"/>
      <c r="U420" s="306"/>
      <c r="V420" s="444"/>
      <c r="W420" s="444"/>
      <c r="X420" s="444"/>
      <c r="Y420" s="444"/>
      <c r="Z420" s="444"/>
      <c r="AA420" s="444"/>
      <c r="AB420" s="444"/>
      <c r="AC420" s="444"/>
      <c r="AD420" s="444"/>
      <c r="AE420" s="444"/>
      <c r="AF420" s="444"/>
      <c r="AG420" s="444"/>
      <c r="AH420" s="444"/>
      <c r="AI420" s="444"/>
    </row>
    <row r="421" spans="1:35" s="444" customFormat="1" ht="18.75">
      <c r="A421" s="436" t="s">
        <v>149</v>
      </c>
      <c r="B421" s="306" t="s">
        <v>902</v>
      </c>
      <c r="C421" s="306" t="s">
        <v>27</v>
      </c>
      <c r="D421" s="306"/>
      <c r="E421" s="432"/>
      <c r="F421" s="306"/>
      <c r="G421" s="306"/>
      <c r="H421" s="306"/>
      <c r="I421" s="306"/>
      <c r="J421" s="306"/>
      <c r="K421" s="432"/>
      <c r="L421" s="432"/>
      <c r="M421" s="432"/>
      <c r="N421" s="432"/>
      <c r="O421" s="432"/>
      <c r="P421" s="429" t="b">
        <f t="shared" si="41"/>
        <v>1</v>
      </c>
      <c r="Q421" s="306"/>
      <c r="R421" s="306"/>
      <c r="S421" s="306"/>
      <c r="T421" s="433"/>
      <c r="U421" s="306"/>
      <c r="V421" s="445"/>
      <c r="W421" s="445"/>
      <c r="X421" s="445"/>
      <c r="Y421" s="445"/>
      <c r="Z421" s="445"/>
      <c r="AA421" s="445"/>
      <c r="AB421" s="445"/>
      <c r="AC421" s="445"/>
      <c r="AD421" s="445"/>
      <c r="AE421" s="445"/>
      <c r="AF421" s="445"/>
      <c r="AG421" s="445"/>
      <c r="AH421" s="445"/>
      <c r="AI421" s="445"/>
    </row>
    <row r="422" spans="1:35" s="446" customFormat="1" ht="42.75" customHeight="1">
      <c r="A422" s="436" t="s">
        <v>904</v>
      </c>
      <c r="B422" s="306" t="s">
        <v>902</v>
      </c>
      <c r="C422" s="306" t="s">
        <v>27</v>
      </c>
      <c r="D422" s="306"/>
      <c r="E422" s="432"/>
      <c r="F422" s="306"/>
      <c r="G422" s="306"/>
      <c r="H422" s="306"/>
      <c r="I422" s="306"/>
      <c r="J422" s="306"/>
      <c r="K422" s="432"/>
      <c r="L422" s="432"/>
      <c r="M422" s="432"/>
      <c r="N422" s="432"/>
      <c r="O422" s="432"/>
      <c r="P422" s="429" t="b">
        <f t="shared" si="41"/>
        <v>1</v>
      </c>
      <c r="Q422" s="306"/>
      <c r="R422" s="306"/>
      <c r="S422" s="306"/>
      <c r="T422" s="433"/>
      <c r="U422" s="306"/>
      <c r="V422" s="444"/>
      <c r="W422" s="444"/>
      <c r="X422" s="444"/>
      <c r="Y422" s="444"/>
      <c r="Z422" s="444"/>
      <c r="AA422" s="444"/>
      <c r="AB422" s="444"/>
      <c r="AC422" s="444"/>
      <c r="AD422" s="444"/>
      <c r="AE422" s="444"/>
      <c r="AF422" s="444"/>
      <c r="AG422" s="444"/>
      <c r="AH422" s="444"/>
      <c r="AI422" s="444"/>
    </row>
    <row r="423" spans="1:35" s="444" customFormat="1" ht="47.25" customHeight="1">
      <c r="A423" s="447" t="s">
        <v>37</v>
      </c>
      <c r="B423" s="448" t="s">
        <v>38</v>
      </c>
      <c r="C423" s="448"/>
      <c r="D423" s="448">
        <f>D424+D428</f>
        <v>0</v>
      </c>
      <c r="E423" s="448">
        <f t="shared" ref="E423:O423" si="51">E424+E428</f>
        <v>0</v>
      </c>
      <c r="F423" s="448"/>
      <c r="G423" s="448"/>
      <c r="H423" s="448"/>
      <c r="I423" s="448"/>
      <c r="J423" s="448"/>
      <c r="K423" s="448">
        <f t="shared" si="51"/>
        <v>0</v>
      </c>
      <c r="L423" s="448">
        <f t="shared" si="51"/>
        <v>0</v>
      </c>
      <c r="M423" s="448">
        <f t="shared" si="51"/>
        <v>0</v>
      </c>
      <c r="N423" s="448">
        <f t="shared" si="51"/>
        <v>0</v>
      </c>
      <c r="O423" s="448">
        <f t="shared" si="51"/>
        <v>0</v>
      </c>
      <c r="P423" s="429" t="b">
        <f t="shared" si="41"/>
        <v>1</v>
      </c>
      <c r="Q423" s="306"/>
      <c r="R423" s="306"/>
      <c r="S423" s="306"/>
      <c r="T423" s="433"/>
      <c r="U423" s="306"/>
      <c r="V423" s="446"/>
      <c r="W423" s="446"/>
      <c r="X423" s="446"/>
      <c r="Y423" s="446"/>
      <c r="Z423" s="446"/>
      <c r="AA423" s="446"/>
      <c r="AB423" s="446"/>
      <c r="AC423" s="446"/>
      <c r="AD423" s="446"/>
      <c r="AE423" s="446"/>
      <c r="AF423" s="446"/>
      <c r="AG423" s="446"/>
      <c r="AH423" s="446"/>
      <c r="AI423" s="446"/>
    </row>
    <row r="424" spans="1:35" s="444" customFormat="1" ht="31.5" customHeight="1">
      <c r="A424" s="436" t="s">
        <v>905</v>
      </c>
      <c r="B424" s="306" t="s">
        <v>42</v>
      </c>
      <c r="C424" s="306" t="s">
        <v>22</v>
      </c>
      <c r="D424" s="306">
        <f>D426+D427</f>
        <v>0</v>
      </c>
      <c r="E424" s="306">
        <f t="shared" ref="E424:O424" si="52">E426+E427</f>
        <v>0</v>
      </c>
      <c r="F424" s="306"/>
      <c r="G424" s="306"/>
      <c r="H424" s="306"/>
      <c r="I424" s="306"/>
      <c r="J424" s="306"/>
      <c r="K424" s="306">
        <f t="shared" si="52"/>
        <v>0</v>
      </c>
      <c r="L424" s="306">
        <f t="shared" si="52"/>
        <v>0</v>
      </c>
      <c r="M424" s="306">
        <f t="shared" si="52"/>
        <v>0</v>
      </c>
      <c r="N424" s="306">
        <f t="shared" si="52"/>
        <v>0</v>
      </c>
      <c r="O424" s="306">
        <f t="shared" si="52"/>
        <v>0</v>
      </c>
      <c r="P424" s="429" t="b">
        <f t="shared" si="41"/>
        <v>1</v>
      </c>
      <c r="Q424" s="306"/>
      <c r="R424" s="306"/>
      <c r="S424" s="306"/>
      <c r="T424" s="433"/>
      <c r="U424" s="306"/>
    </row>
    <row r="425" spans="1:35" s="444" customFormat="1" ht="30" customHeight="1">
      <c r="A425" s="306"/>
      <c r="B425" s="306" t="s">
        <v>901</v>
      </c>
      <c r="C425" s="306"/>
      <c r="D425" s="306"/>
      <c r="E425" s="306"/>
      <c r="F425" s="306"/>
      <c r="G425" s="306"/>
      <c r="H425" s="306"/>
      <c r="I425" s="306"/>
      <c r="J425" s="306"/>
      <c r="K425" s="432"/>
      <c r="L425" s="432"/>
      <c r="M425" s="432"/>
      <c r="N425" s="432"/>
      <c r="O425" s="432"/>
      <c r="P425" s="429" t="b">
        <f t="shared" si="41"/>
        <v>1</v>
      </c>
      <c r="Q425" s="306"/>
      <c r="R425" s="306"/>
      <c r="S425" s="306"/>
      <c r="T425" s="433"/>
      <c r="U425" s="306"/>
    </row>
    <row r="426" spans="1:35" s="444" customFormat="1" ht="16.5">
      <c r="A426" s="436" t="s">
        <v>906</v>
      </c>
      <c r="B426" s="306" t="s">
        <v>902</v>
      </c>
      <c r="C426" s="306" t="s">
        <v>22</v>
      </c>
      <c r="D426" s="306"/>
      <c r="E426" s="432"/>
      <c r="F426" s="306"/>
      <c r="G426" s="306"/>
      <c r="H426" s="306"/>
      <c r="I426" s="306"/>
      <c r="J426" s="306"/>
      <c r="K426" s="432"/>
      <c r="L426" s="432"/>
      <c r="M426" s="432"/>
      <c r="N426" s="432"/>
      <c r="O426" s="432"/>
      <c r="P426" s="429" t="b">
        <f t="shared" si="41"/>
        <v>1</v>
      </c>
      <c r="Q426" s="306"/>
      <c r="R426" s="306"/>
      <c r="S426" s="306"/>
      <c r="T426" s="433"/>
      <c r="U426" s="306"/>
    </row>
    <row r="427" spans="1:35" s="444" customFormat="1" ht="39" customHeight="1">
      <c r="A427" s="436" t="s">
        <v>907</v>
      </c>
      <c r="B427" s="306" t="s">
        <v>902</v>
      </c>
      <c r="C427" s="306" t="s">
        <v>22</v>
      </c>
      <c r="D427" s="306"/>
      <c r="E427" s="432"/>
      <c r="F427" s="306"/>
      <c r="G427" s="306"/>
      <c r="H427" s="306"/>
      <c r="I427" s="306"/>
      <c r="J427" s="306"/>
      <c r="K427" s="432"/>
      <c r="L427" s="432"/>
      <c r="M427" s="432"/>
      <c r="N427" s="432"/>
      <c r="O427" s="432"/>
      <c r="P427" s="429" t="b">
        <f t="shared" si="41"/>
        <v>1</v>
      </c>
      <c r="Q427" s="306"/>
      <c r="R427" s="306"/>
      <c r="S427" s="306"/>
      <c r="T427" s="433"/>
      <c r="U427" s="306"/>
    </row>
    <row r="428" spans="1:35" s="444" customFormat="1" ht="16.5">
      <c r="A428" s="436" t="s">
        <v>908</v>
      </c>
      <c r="B428" s="306" t="s">
        <v>44</v>
      </c>
      <c r="C428" s="306" t="s">
        <v>27</v>
      </c>
      <c r="D428" s="306">
        <f>D430+D431</f>
        <v>0</v>
      </c>
      <c r="E428" s="306">
        <f t="shared" ref="E428:O428" si="53">E430+E431</f>
        <v>0</v>
      </c>
      <c r="F428" s="306"/>
      <c r="G428" s="306"/>
      <c r="H428" s="306"/>
      <c r="I428" s="306"/>
      <c r="J428" s="306"/>
      <c r="K428" s="306">
        <f t="shared" si="53"/>
        <v>0</v>
      </c>
      <c r="L428" s="306">
        <f t="shared" si="53"/>
        <v>0</v>
      </c>
      <c r="M428" s="306">
        <f t="shared" si="53"/>
        <v>0</v>
      </c>
      <c r="N428" s="306">
        <f t="shared" si="53"/>
        <v>0</v>
      </c>
      <c r="O428" s="306">
        <f t="shared" si="53"/>
        <v>0</v>
      </c>
      <c r="P428" s="429" t="b">
        <f t="shared" si="41"/>
        <v>1</v>
      </c>
      <c r="Q428" s="306"/>
      <c r="R428" s="306"/>
      <c r="S428" s="306"/>
      <c r="T428" s="433"/>
      <c r="U428" s="306"/>
    </row>
    <row r="429" spans="1:35" s="444" customFormat="1" ht="24" customHeight="1">
      <c r="A429" s="306"/>
      <c r="B429" s="306" t="s">
        <v>901</v>
      </c>
      <c r="C429" s="306"/>
      <c r="D429" s="306"/>
      <c r="E429" s="306"/>
      <c r="F429" s="306"/>
      <c r="G429" s="306"/>
      <c r="H429" s="306"/>
      <c r="I429" s="306"/>
      <c r="J429" s="306"/>
      <c r="K429" s="432"/>
      <c r="L429" s="432"/>
      <c r="M429" s="432"/>
      <c r="N429" s="432"/>
      <c r="O429" s="432"/>
      <c r="P429" s="429" t="b">
        <f t="shared" si="41"/>
        <v>1</v>
      </c>
      <c r="Q429" s="306"/>
      <c r="R429" s="306"/>
      <c r="S429" s="306"/>
      <c r="T429" s="433"/>
      <c r="U429" s="306"/>
    </row>
    <row r="430" spans="1:35" s="444" customFormat="1" ht="32.25" customHeight="1">
      <c r="A430" s="436" t="s">
        <v>909</v>
      </c>
      <c r="B430" s="306" t="s">
        <v>902</v>
      </c>
      <c r="C430" s="306" t="s">
        <v>27</v>
      </c>
      <c r="D430" s="306"/>
      <c r="E430" s="432"/>
      <c r="F430" s="306"/>
      <c r="G430" s="306"/>
      <c r="H430" s="306"/>
      <c r="I430" s="306"/>
      <c r="J430" s="306"/>
      <c r="K430" s="432"/>
      <c r="L430" s="432"/>
      <c r="M430" s="432"/>
      <c r="N430" s="432"/>
      <c r="O430" s="432"/>
      <c r="P430" s="429" t="b">
        <f t="shared" si="41"/>
        <v>1</v>
      </c>
      <c r="Q430" s="306"/>
      <c r="R430" s="306"/>
      <c r="S430" s="306"/>
      <c r="T430" s="433"/>
      <c r="U430" s="306"/>
    </row>
    <row r="431" spans="1:35" s="444" customFormat="1" ht="16.5">
      <c r="A431" s="436" t="s">
        <v>910</v>
      </c>
      <c r="B431" s="306" t="s">
        <v>902</v>
      </c>
      <c r="C431" s="306" t="s">
        <v>27</v>
      </c>
      <c r="D431" s="306"/>
      <c r="E431" s="432"/>
      <c r="F431" s="306"/>
      <c r="G431" s="306"/>
      <c r="H431" s="306"/>
      <c r="I431" s="306"/>
      <c r="J431" s="306"/>
      <c r="K431" s="432"/>
      <c r="L431" s="432"/>
      <c r="M431" s="432"/>
      <c r="N431" s="432"/>
      <c r="O431" s="432"/>
      <c r="P431" s="429" t="b">
        <f t="shared" si="41"/>
        <v>1</v>
      </c>
      <c r="Q431" s="306"/>
      <c r="R431" s="306"/>
      <c r="S431" s="306"/>
      <c r="T431" s="433"/>
      <c r="U431" s="306"/>
    </row>
    <row r="432" spans="1:35" s="444" customFormat="1" ht="28.5" customHeight="1">
      <c r="A432" s="447" t="s">
        <v>39</v>
      </c>
      <c r="B432" s="448" t="s">
        <v>40</v>
      </c>
      <c r="C432" s="448"/>
      <c r="D432" s="448">
        <v>0</v>
      </c>
      <c r="E432" s="448">
        <v>0</v>
      </c>
      <c r="F432" s="448"/>
      <c r="G432" s="448"/>
      <c r="H432" s="448"/>
      <c r="I432" s="448"/>
      <c r="J432" s="448"/>
      <c r="K432" s="448">
        <v>0</v>
      </c>
      <c r="L432" s="448">
        <v>0</v>
      </c>
      <c r="M432" s="448">
        <v>0</v>
      </c>
      <c r="N432" s="448">
        <v>0</v>
      </c>
      <c r="O432" s="448">
        <v>0</v>
      </c>
      <c r="P432" s="429" t="b">
        <f t="shared" si="41"/>
        <v>1</v>
      </c>
      <c r="Q432" s="306"/>
      <c r="R432" s="306"/>
      <c r="S432" s="306"/>
      <c r="T432" s="433"/>
      <c r="U432" s="306"/>
    </row>
    <row r="433" spans="1:35" s="444" customFormat="1" ht="16.5">
      <c r="A433" s="436" t="s">
        <v>41</v>
      </c>
      <c r="B433" s="306" t="s">
        <v>42</v>
      </c>
      <c r="C433" s="306" t="s">
        <v>22</v>
      </c>
      <c r="D433" s="306">
        <v>0</v>
      </c>
      <c r="E433" s="432">
        <v>0</v>
      </c>
      <c r="F433" s="306"/>
      <c r="G433" s="306"/>
      <c r="H433" s="306"/>
      <c r="I433" s="306"/>
      <c r="J433" s="306"/>
      <c r="K433" s="432">
        <v>0</v>
      </c>
      <c r="L433" s="432">
        <v>0</v>
      </c>
      <c r="M433" s="432">
        <v>0</v>
      </c>
      <c r="N433" s="432">
        <v>0</v>
      </c>
      <c r="O433" s="432">
        <v>0</v>
      </c>
      <c r="P433" s="429" t="b">
        <f t="shared" si="41"/>
        <v>1</v>
      </c>
      <c r="Q433" s="306"/>
      <c r="R433" s="306"/>
      <c r="S433" s="306"/>
      <c r="T433" s="433"/>
      <c r="U433" s="306"/>
    </row>
    <row r="434" spans="1:35" s="444" customFormat="1" ht="16.5">
      <c r="A434" s="436" t="s">
        <v>43</v>
      </c>
      <c r="B434" s="306" t="s">
        <v>44</v>
      </c>
      <c r="C434" s="306" t="s">
        <v>27</v>
      </c>
      <c r="D434" s="306">
        <v>0</v>
      </c>
      <c r="E434" s="432">
        <v>0</v>
      </c>
      <c r="F434" s="306"/>
      <c r="G434" s="306"/>
      <c r="H434" s="306"/>
      <c r="I434" s="306"/>
      <c r="J434" s="306"/>
      <c r="K434" s="432">
        <v>0</v>
      </c>
      <c r="L434" s="432">
        <v>0</v>
      </c>
      <c r="M434" s="432">
        <v>0</v>
      </c>
      <c r="N434" s="432">
        <v>0</v>
      </c>
      <c r="O434" s="432">
        <v>0</v>
      </c>
      <c r="P434" s="429" t="b">
        <f t="shared" si="41"/>
        <v>1</v>
      </c>
      <c r="Q434" s="306"/>
      <c r="R434" s="306"/>
      <c r="S434" s="306"/>
      <c r="T434" s="433"/>
      <c r="U434" s="306"/>
    </row>
    <row r="435" spans="1:35" s="450" customFormat="1" ht="45.75" customHeight="1">
      <c r="A435" s="447">
        <v>5</v>
      </c>
      <c r="B435" s="448" t="s">
        <v>45</v>
      </c>
      <c r="C435" s="306" t="s">
        <v>152</v>
      </c>
      <c r="D435" s="449">
        <v>6</v>
      </c>
      <c r="E435" s="449">
        <f>K435+L435+M435+N435+O435</f>
        <v>22026</v>
      </c>
      <c r="F435" s="449"/>
      <c r="G435" s="449"/>
      <c r="H435" s="449"/>
      <c r="I435" s="449"/>
      <c r="J435" s="449"/>
      <c r="K435" s="449">
        <v>14026</v>
      </c>
      <c r="L435" s="449">
        <v>2000</v>
      </c>
      <c r="M435" s="449">
        <v>2000</v>
      </c>
      <c r="N435" s="449">
        <v>2000</v>
      </c>
      <c r="O435" s="449">
        <v>2000</v>
      </c>
      <c r="P435" s="429" t="b">
        <f t="shared" si="41"/>
        <v>1</v>
      </c>
      <c r="Q435" s="306"/>
      <c r="R435" s="448"/>
      <c r="S435" s="306"/>
      <c r="T435" s="433"/>
      <c r="U435" s="306"/>
      <c r="V435" s="444"/>
      <c r="W435" s="444"/>
      <c r="X435" s="444"/>
      <c r="Y435" s="444"/>
      <c r="Z435" s="444"/>
      <c r="AA435" s="444"/>
      <c r="AB435" s="444"/>
      <c r="AC435" s="444"/>
      <c r="AD435" s="444"/>
      <c r="AE435" s="444"/>
      <c r="AF435" s="444"/>
      <c r="AG435" s="444"/>
      <c r="AH435" s="444"/>
      <c r="AI435" s="444"/>
    </row>
    <row r="436" spans="1:35" s="452" customFormat="1" ht="57" customHeight="1">
      <c r="A436" s="447">
        <v>6</v>
      </c>
      <c r="B436" s="448" t="s">
        <v>46</v>
      </c>
      <c r="C436" s="306" t="s">
        <v>799</v>
      </c>
      <c r="D436" s="448">
        <v>11</v>
      </c>
      <c r="E436" s="451">
        <f>K436+L436+M436+N436+O436</f>
        <v>19700</v>
      </c>
      <c r="F436" s="306" t="s">
        <v>362</v>
      </c>
      <c r="G436" s="306" t="s">
        <v>362</v>
      </c>
      <c r="H436" s="306" t="s">
        <v>362</v>
      </c>
      <c r="I436" s="306" t="s">
        <v>362</v>
      </c>
      <c r="J436" s="306" t="s">
        <v>362</v>
      </c>
      <c r="K436" s="448">
        <v>0</v>
      </c>
      <c r="L436" s="448">
        <v>6000</v>
      </c>
      <c r="M436" s="448">
        <v>6000</v>
      </c>
      <c r="N436" s="448">
        <v>6200</v>
      </c>
      <c r="O436" s="448">
        <v>1500</v>
      </c>
      <c r="P436" s="429" t="b">
        <f t="shared" si="41"/>
        <v>1</v>
      </c>
      <c r="Q436" s="306"/>
      <c r="R436" s="306"/>
      <c r="S436" s="306"/>
      <c r="T436" s="433"/>
      <c r="U436" s="306"/>
      <c r="V436" s="450"/>
      <c r="W436" s="450"/>
      <c r="X436" s="450"/>
      <c r="Y436" s="450"/>
      <c r="Z436" s="450"/>
      <c r="AA436" s="450"/>
      <c r="AB436" s="450"/>
      <c r="AC436" s="450"/>
      <c r="AD436" s="450"/>
      <c r="AE436" s="450"/>
      <c r="AF436" s="450"/>
      <c r="AG436" s="450"/>
      <c r="AH436" s="450"/>
      <c r="AI436" s="450"/>
    </row>
    <row r="437" spans="1:35" s="454" customFormat="1" ht="31.5" customHeight="1">
      <c r="A437" s="447">
        <v>7</v>
      </c>
      <c r="B437" s="453" t="s">
        <v>47</v>
      </c>
      <c r="C437" s="448" t="s">
        <v>22</v>
      </c>
      <c r="D437" s="448">
        <v>483</v>
      </c>
      <c r="E437" s="451">
        <f>K437+L437+M437+N437+O437</f>
        <v>2000</v>
      </c>
      <c r="F437" s="448" t="s">
        <v>362</v>
      </c>
      <c r="G437" s="448" t="s">
        <v>362</v>
      </c>
      <c r="H437" s="448" t="s">
        <v>362</v>
      </c>
      <c r="I437" s="448" t="s">
        <v>362</v>
      </c>
      <c r="J437" s="448" t="s">
        <v>362</v>
      </c>
      <c r="K437" s="451">
        <v>400</v>
      </c>
      <c r="L437" s="451">
        <v>400</v>
      </c>
      <c r="M437" s="451">
        <v>400</v>
      </c>
      <c r="N437" s="451">
        <v>400</v>
      </c>
      <c r="O437" s="451">
        <v>400</v>
      </c>
      <c r="P437" s="429" t="b">
        <f t="shared" si="41"/>
        <v>1</v>
      </c>
      <c r="Q437" s="306" t="s">
        <v>362</v>
      </c>
      <c r="R437" s="448"/>
      <c r="S437" s="306"/>
      <c r="T437" s="433"/>
      <c r="U437" s="306"/>
      <c r="V437" s="450"/>
      <c r="W437" s="450"/>
      <c r="X437" s="450"/>
      <c r="Y437" s="450"/>
      <c r="Z437" s="450"/>
      <c r="AA437" s="450"/>
      <c r="AB437" s="450"/>
      <c r="AC437" s="450"/>
      <c r="AD437" s="450"/>
      <c r="AE437" s="450"/>
      <c r="AF437" s="450"/>
      <c r="AG437" s="450"/>
      <c r="AH437" s="450"/>
      <c r="AI437" s="450"/>
    </row>
    <row r="438" spans="1:35" s="456" customFormat="1" ht="30" customHeight="1">
      <c r="A438" s="447">
        <v>8</v>
      </c>
      <c r="B438" s="455" t="s">
        <v>48</v>
      </c>
      <c r="C438" s="448" t="s">
        <v>22</v>
      </c>
      <c r="D438" s="448">
        <v>0</v>
      </c>
      <c r="E438" s="448">
        <v>0</v>
      </c>
      <c r="F438" s="448"/>
      <c r="G438" s="448"/>
      <c r="H438" s="448"/>
      <c r="I438" s="448"/>
      <c r="J438" s="448"/>
      <c r="K438" s="451">
        <v>0</v>
      </c>
      <c r="L438" s="451">
        <v>0</v>
      </c>
      <c r="M438" s="451">
        <v>0</v>
      </c>
      <c r="N438" s="451">
        <v>0</v>
      </c>
      <c r="O438" s="451">
        <v>0</v>
      </c>
      <c r="P438" s="429" t="b">
        <f t="shared" si="41"/>
        <v>1</v>
      </c>
      <c r="Q438" s="306" t="s">
        <v>362</v>
      </c>
      <c r="R438" s="306"/>
      <c r="S438" s="306"/>
      <c r="T438" s="433"/>
      <c r="U438" s="306"/>
      <c r="V438" s="454"/>
      <c r="W438" s="454"/>
      <c r="X438" s="454"/>
      <c r="Y438" s="454"/>
      <c r="Z438" s="454"/>
      <c r="AA438" s="454"/>
      <c r="AB438" s="454"/>
      <c r="AC438" s="454"/>
      <c r="AD438" s="454"/>
      <c r="AE438" s="454"/>
      <c r="AF438" s="454"/>
      <c r="AG438" s="454"/>
      <c r="AH438" s="454"/>
      <c r="AI438" s="454"/>
    </row>
    <row r="439" spans="1:35" s="456" customFormat="1" ht="18.75">
      <c r="A439" s="447">
        <v>9</v>
      </c>
      <c r="B439" s="448" t="s">
        <v>49</v>
      </c>
      <c r="C439" s="448" t="s">
        <v>22</v>
      </c>
      <c r="D439" s="448">
        <v>72</v>
      </c>
      <c r="E439" s="451">
        <f>SUM(K439:O439)</f>
        <v>20000</v>
      </c>
      <c r="F439" s="448" t="s">
        <v>362</v>
      </c>
      <c r="G439" s="448" t="s">
        <v>362</v>
      </c>
      <c r="H439" s="448" t="s">
        <v>362</v>
      </c>
      <c r="I439" s="448" t="s">
        <v>362</v>
      </c>
      <c r="J439" s="448" t="s">
        <v>362</v>
      </c>
      <c r="K439" s="451">
        <v>4000</v>
      </c>
      <c r="L439" s="451">
        <v>4000</v>
      </c>
      <c r="M439" s="451">
        <v>4000</v>
      </c>
      <c r="N439" s="451">
        <v>4000</v>
      </c>
      <c r="O439" s="451">
        <v>4000</v>
      </c>
      <c r="P439" s="429" t="b">
        <f t="shared" si="41"/>
        <v>1</v>
      </c>
      <c r="Q439" s="306" t="s">
        <v>362</v>
      </c>
      <c r="R439" s="306"/>
      <c r="S439" s="306"/>
      <c r="T439" s="433"/>
      <c r="U439" s="306"/>
    </row>
    <row r="440" spans="1:35" s="456" customFormat="1" ht="30.75" customHeight="1">
      <c r="A440" s="447">
        <v>10</v>
      </c>
      <c r="B440" s="448" t="s">
        <v>50</v>
      </c>
      <c r="C440" s="448" t="s">
        <v>22</v>
      </c>
      <c r="D440" s="448">
        <v>100</v>
      </c>
      <c r="E440" s="451">
        <f>SUM(K440:O440)</f>
        <v>2605</v>
      </c>
      <c r="F440" s="448"/>
      <c r="G440" s="448"/>
      <c r="H440" s="448"/>
      <c r="I440" s="448"/>
      <c r="J440" s="448"/>
      <c r="K440" s="451">
        <f>450*0.9</f>
        <v>405</v>
      </c>
      <c r="L440" s="451">
        <v>490</v>
      </c>
      <c r="M440" s="451">
        <v>530</v>
      </c>
      <c r="N440" s="451">
        <v>570</v>
      </c>
      <c r="O440" s="451">
        <v>610</v>
      </c>
      <c r="P440" s="429" t="b">
        <f t="shared" si="41"/>
        <v>1</v>
      </c>
      <c r="Q440" s="306"/>
      <c r="R440" s="306"/>
      <c r="S440" s="306"/>
      <c r="T440" s="433"/>
      <c r="U440" s="457"/>
    </row>
    <row r="441" spans="1:35" s="461" customFormat="1" ht="19.5" thickBot="1">
      <c r="A441" s="281"/>
      <c r="B441" s="458" t="s">
        <v>4</v>
      </c>
      <c r="C441" s="458"/>
      <c r="D441" s="458">
        <f>D440+D439+D438+D437+D436+D435+D432+D423+D387+D383</f>
        <v>694</v>
      </c>
      <c r="E441" s="458">
        <f>E440+E439+E438+E437+E436+E435+E432+E423+E387+E383</f>
        <v>488318.05</v>
      </c>
      <c r="F441" s="458"/>
      <c r="G441" s="458"/>
      <c r="H441" s="458"/>
      <c r="I441" s="458"/>
      <c r="J441" s="458"/>
      <c r="K441" s="429">
        <f>K440+K439+K438+K437+K436+K435+K432+K423+K387+K383</f>
        <v>130855.05</v>
      </c>
      <c r="L441" s="458">
        <f>L440+L439+L438+L437+L436+L435+L432+L423+L387+L383</f>
        <v>63764</v>
      </c>
      <c r="M441" s="458">
        <f>M440+M439+M438+M437+M436+M435+M432+M423+M387+M383</f>
        <v>55100</v>
      </c>
      <c r="N441" s="458">
        <f>N440+N439+N438+N437+N436+N435+N432+N423+N387+N383</f>
        <v>138665</v>
      </c>
      <c r="O441" s="458">
        <f>O440+O439+O438+O437+O436+O435+O432+O423+O387+O383</f>
        <v>99934</v>
      </c>
      <c r="P441" s="429" t="b">
        <f t="shared" si="41"/>
        <v>1</v>
      </c>
      <c r="Q441" s="459" t="s">
        <v>362</v>
      </c>
      <c r="R441" s="24"/>
      <c r="S441" s="281"/>
      <c r="T441" s="460"/>
    </row>
    <row r="442" spans="1:35" s="465" customFormat="1" ht="19.5" thickBot="1">
      <c r="A442" s="462" t="s">
        <v>911</v>
      </c>
      <c r="B442" s="463"/>
      <c r="C442" s="463"/>
      <c r="D442" s="463"/>
      <c r="E442" s="463"/>
      <c r="F442" s="463"/>
      <c r="G442" s="463"/>
      <c r="H442" s="463"/>
      <c r="I442" s="463"/>
      <c r="J442" s="463"/>
      <c r="K442" s="463"/>
      <c r="L442" s="463"/>
      <c r="M442" s="463"/>
      <c r="N442" s="463"/>
      <c r="O442" s="463"/>
      <c r="P442" s="463"/>
      <c r="Q442" s="463"/>
      <c r="R442" s="463"/>
      <c r="S442" s="463"/>
      <c r="T442" s="463"/>
      <c r="U442" s="464"/>
      <c r="V442" s="461"/>
      <c r="W442" s="461"/>
      <c r="X442" s="461"/>
      <c r="Y442" s="461"/>
      <c r="Z442" s="461"/>
      <c r="AA442" s="461"/>
      <c r="AB442" s="461"/>
      <c r="AC442" s="461"/>
      <c r="AD442" s="461"/>
      <c r="AE442" s="461"/>
      <c r="AF442" s="461"/>
      <c r="AG442" s="461"/>
      <c r="AH442" s="461"/>
      <c r="AI442" s="461"/>
    </row>
    <row r="443" spans="1:35" s="465" customFormat="1" thickBot="1">
      <c r="A443" s="466" t="s">
        <v>1</v>
      </c>
      <c r="B443" s="216" t="s">
        <v>2</v>
      </c>
      <c r="C443" s="216" t="s">
        <v>3</v>
      </c>
      <c r="D443" s="467" t="s">
        <v>4</v>
      </c>
      <c r="E443" s="468"/>
      <c r="F443" s="469" t="s">
        <v>5</v>
      </c>
      <c r="G443" s="467" t="s">
        <v>6</v>
      </c>
      <c r="H443" s="468"/>
      <c r="I443" s="470" t="s">
        <v>7</v>
      </c>
      <c r="J443" s="471"/>
      <c r="K443" s="472" t="s">
        <v>8</v>
      </c>
      <c r="L443" s="473"/>
      <c r="M443" s="473"/>
      <c r="N443" s="473"/>
      <c r="O443" s="469"/>
      <c r="P443" s="474" t="s">
        <v>10</v>
      </c>
      <c r="Q443" s="474" t="s">
        <v>11</v>
      </c>
      <c r="R443" s="474" t="s">
        <v>12</v>
      </c>
      <c r="S443" s="474" t="s">
        <v>13</v>
      </c>
      <c r="T443" s="475" t="s">
        <v>14</v>
      </c>
      <c r="U443" s="476" t="s">
        <v>912</v>
      </c>
    </row>
    <row r="444" spans="1:35" s="465" customFormat="1" ht="67.5" customHeight="1" thickBot="1">
      <c r="A444" s="477"/>
      <c r="B444" s="219"/>
      <c r="C444" s="219"/>
      <c r="D444" s="216" t="s">
        <v>15</v>
      </c>
      <c r="E444" s="216" t="s">
        <v>16</v>
      </c>
      <c r="F444" s="478"/>
      <c r="G444" s="216" t="s">
        <v>17</v>
      </c>
      <c r="H444" s="216" t="s">
        <v>18</v>
      </c>
      <c r="I444" s="216" t="s">
        <v>17</v>
      </c>
      <c r="J444" s="216" t="s">
        <v>18</v>
      </c>
      <c r="K444" s="479"/>
      <c r="L444" s="480"/>
      <c r="M444" s="480"/>
      <c r="N444" s="480"/>
      <c r="O444" s="481"/>
      <c r="P444" s="474"/>
      <c r="Q444" s="474"/>
      <c r="R444" s="474"/>
      <c r="S444" s="474"/>
      <c r="T444" s="475"/>
      <c r="U444" s="482"/>
    </row>
    <row r="445" spans="1:35" s="487" customFormat="1" thickBot="1">
      <c r="A445" s="483"/>
      <c r="B445" s="222"/>
      <c r="C445" s="222"/>
      <c r="D445" s="222"/>
      <c r="E445" s="222"/>
      <c r="F445" s="481"/>
      <c r="G445" s="222"/>
      <c r="H445" s="222"/>
      <c r="I445" s="222"/>
      <c r="J445" s="222"/>
      <c r="K445" s="484" t="s">
        <v>155</v>
      </c>
      <c r="L445" s="485" t="s">
        <v>156</v>
      </c>
      <c r="M445" s="484" t="s">
        <v>157</v>
      </c>
      <c r="N445" s="485" t="s">
        <v>158</v>
      </c>
      <c r="O445" s="485" t="s">
        <v>159</v>
      </c>
      <c r="P445" s="474"/>
      <c r="Q445" s="474"/>
      <c r="R445" s="474"/>
      <c r="S445" s="474"/>
      <c r="T445" s="475"/>
      <c r="U445" s="486"/>
      <c r="V445" s="465"/>
      <c r="W445" s="465"/>
      <c r="X445" s="465"/>
      <c r="Y445" s="465"/>
      <c r="Z445" s="465"/>
      <c r="AA445" s="465"/>
      <c r="AB445" s="465"/>
      <c r="AC445" s="465"/>
      <c r="AD445" s="465"/>
      <c r="AE445" s="465"/>
      <c r="AF445" s="465"/>
      <c r="AG445" s="465"/>
      <c r="AH445" s="465"/>
      <c r="AI445" s="465"/>
    </row>
    <row r="446" spans="1:35" s="487" customFormat="1" thickBot="1">
      <c r="A446" s="488">
        <v>1</v>
      </c>
      <c r="B446" s="489">
        <v>2</v>
      </c>
      <c r="C446" s="489">
        <v>3</v>
      </c>
      <c r="D446" s="489">
        <v>4</v>
      </c>
      <c r="E446" s="488">
        <v>5</v>
      </c>
      <c r="F446" s="489">
        <v>6</v>
      </c>
      <c r="G446" s="489">
        <v>7</v>
      </c>
      <c r="H446" s="489">
        <v>8</v>
      </c>
      <c r="I446" s="488">
        <v>9</v>
      </c>
      <c r="J446" s="489">
        <v>10</v>
      </c>
      <c r="K446" s="489">
        <v>11</v>
      </c>
      <c r="L446" s="489">
        <v>12</v>
      </c>
      <c r="M446" s="488">
        <v>13</v>
      </c>
      <c r="N446" s="489">
        <v>14</v>
      </c>
      <c r="O446" s="489">
        <v>15</v>
      </c>
      <c r="P446" s="177">
        <v>16</v>
      </c>
      <c r="Q446" s="177">
        <v>17</v>
      </c>
      <c r="R446" s="177">
        <v>18</v>
      </c>
      <c r="S446" s="177">
        <v>19</v>
      </c>
      <c r="T446" s="178">
        <v>20</v>
      </c>
      <c r="U446" s="177">
        <v>21</v>
      </c>
    </row>
    <row r="447" spans="1:35" s="21" customFormat="1" ht="19.5" customHeight="1" thickBot="1">
      <c r="A447" s="490">
        <v>1</v>
      </c>
      <c r="B447" s="491" t="s">
        <v>19</v>
      </c>
      <c r="C447" s="491"/>
      <c r="D447" s="239">
        <f>D448+D449+D450+D451</f>
        <v>0</v>
      </c>
      <c r="E447" s="239">
        <f>E448+E449+E450+E451</f>
        <v>0</v>
      </c>
      <c r="F447" s="239">
        <f t="shared" ref="F447:O447" si="54">F448+F449+F450+F451</f>
        <v>0</v>
      </c>
      <c r="G447" s="239">
        <f t="shared" si="54"/>
        <v>0</v>
      </c>
      <c r="H447" s="239">
        <f t="shared" si="54"/>
        <v>0</v>
      </c>
      <c r="I447" s="239">
        <f t="shared" si="54"/>
        <v>0</v>
      </c>
      <c r="J447" s="239">
        <f t="shared" si="54"/>
        <v>0</v>
      </c>
      <c r="K447" s="239">
        <f t="shared" si="54"/>
        <v>0</v>
      </c>
      <c r="L447" s="239">
        <f t="shared" si="54"/>
        <v>0</v>
      </c>
      <c r="M447" s="239">
        <f t="shared" si="54"/>
        <v>0</v>
      </c>
      <c r="N447" s="239">
        <f t="shared" si="54"/>
        <v>0</v>
      </c>
      <c r="O447" s="239">
        <f t="shared" si="54"/>
        <v>0</v>
      </c>
      <c r="P447" s="177"/>
      <c r="Q447" s="492"/>
      <c r="R447" s="177"/>
      <c r="S447" s="177"/>
      <c r="T447" s="178"/>
      <c r="U447" s="177"/>
      <c r="V447" s="487"/>
      <c r="W447" s="487"/>
      <c r="X447" s="487"/>
      <c r="Y447" s="487"/>
      <c r="Z447" s="487"/>
      <c r="AA447" s="487"/>
      <c r="AB447" s="487"/>
      <c r="AC447" s="487"/>
      <c r="AD447" s="487"/>
      <c r="AE447" s="487"/>
      <c r="AF447" s="487"/>
      <c r="AG447" s="487"/>
      <c r="AH447" s="487"/>
      <c r="AI447" s="487"/>
    </row>
    <row r="448" spans="1:35" ht="16.5" thickBot="1">
      <c r="A448" s="182" t="s">
        <v>20</v>
      </c>
      <c r="B448" s="250" t="s">
        <v>21</v>
      </c>
      <c r="C448" s="248" t="s">
        <v>22</v>
      </c>
      <c r="D448" s="248"/>
      <c r="E448" s="249"/>
      <c r="F448" s="248"/>
      <c r="G448" s="248"/>
      <c r="H448" s="248"/>
      <c r="I448" s="248"/>
      <c r="J448" s="248"/>
      <c r="K448" s="249"/>
      <c r="L448" s="249"/>
      <c r="M448" s="249"/>
      <c r="N448" s="249"/>
      <c r="O448" s="249"/>
      <c r="P448" s="177"/>
      <c r="Q448" s="492"/>
      <c r="R448" s="177"/>
      <c r="S448" s="177"/>
      <c r="T448" s="178"/>
      <c r="U448" s="177"/>
      <c r="V448" s="21"/>
      <c r="W448" s="21"/>
      <c r="X448" s="21"/>
      <c r="Y448" s="21"/>
      <c r="Z448" s="21"/>
      <c r="AA448" s="21"/>
      <c r="AB448" s="21"/>
      <c r="AC448" s="21"/>
      <c r="AD448" s="21"/>
      <c r="AE448" s="21"/>
      <c r="AF448" s="21"/>
      <c r="AG448" s="21"/>
      <c r="AH448" s="21"/>
      <c r="AI448" s="21"/>
    </row>
    <row r="449" spans="1:21" ht="16.5" thickBot="1">
      <c r="A449" s="182" t="s">
        <v>23</v>
      </c>
      <c r="B449" s="250" t="s">
        <v>24</v>
      </c>
      <c r="C449" s="248" t="s">
        <v>22</v>
      </c>
      <c r="D449" s="248"/>
      <c r="E449" s="249"/>
      <c r="F449" s="248"/>
      <c r="G449" s="248"/>
      <c r="H449" s="248"/>
      <c r="I449" s="248"/>
      <c r="J449" s="248"/>
      <c r="K449" s="249"/>
      <c r="L449" s="249"/>
      <c r="M449" s="249"/>
      <c r="N449" s="249"/>
      <c r="O449" s="249"/>
      <c r="P449" s="177"/>
      <c r="Q449" s="492"/>
      <c r="R449" s="177"/>
      <c r="S449" s="177"/>
      <c r="T449" s="178"/>
      <c r="U449" s="177"/>
    </row>
    <row r="450" spans="1:21" ht="43.5" customHeight="1" thickBot="1">
      <c r="A450" s="182" t="s">
        <v>25</v>
      </c>
      <c r="B450" s="250" t="s">
        <v>26</v>
      </c>
      <c r="C450" s="248" t="s">
        <v>27</v>
      </c>
      <c r="D450" s="248"/>
      <c r="E450" s="249"/>
      <c r="F450" s="248"/>
      <c r="G450" s="248"/>
      <c r="H450" s="248"/>
      <c r="I450" s="248"/>
      <c r="J450" s="248"/>
      <c r="K450" s="249"/>
      <c r="L450" s="249"/>
      <c r="M450" s="249"/>
      <c r="N450" s="249"/>
      <c r="O450" s="249"/>
      <c r="P450" s="177"/>
      <c r="Q450" s="492"/>
      <c r="R450" s="177"/>
      <c r="S450" s="177"/>
      <c r="T450" s="178"/>
      <c r="U450" s="177"/>
    </row>
    <row r="451" spans="1:21" ht="39.75" customHeight="1" thickBot="1">
      <c r="A451" s="182" t="s">
        <v>28</v>
      </c>
      <c r="B451" s="250" t="s">
        <v>29</v>
      </c>
      <c r="C451" s="248" t="s">
        <v>27</v>
      </c>
      <c r="D451" s="248"/>
      <c r="E451" s="249"/>
      <c r="F451" s="248"/>
      <c r="G451" s="248"/>
      <c r="H451" s="248"/>
      <c r="I451" s="248"/>
      <c r="J451" s="248"/>
      <c r="K451" s="249"/>
      <c r="L451" s="249"/>
      <c r="M451" s="249"/>
      <c r="N451" s="249"/>
      <c r="O451" s="249"/>
      <c r="P451" s="177"/>
      <c r="Q451" s="492"/>
      <c r="R451" s="177"/>
      <c r="S451" s="177"/>
      <c r="T451" s="178"/>
      <c r="U451" s="177"/>
    </row>
    <row r="452" spans="1:21" ht="29.25" customHeight="1" thickBot="1">
      <c r="A452" s="490" t="s">
        <v>30</v>
      </c>
      <c r="B452" s="491" t="s">
        <v>31</v>
      </c>
      <c r="C452" s="239"/>
      <c r="D452" s="239">
        <f>D453+D454+D455+D456</f>
        <v>0</v>
      </c>
      <c r="E452" s="239">
        <f t="shared" ref="E452:O452" si="55">E453+E454+E455+E456</f>
        <v>0</v>
      </c>
      <c r="F452" s="239">
        <f t="shared" si="55"/>
        <v>0</v>
      </c>
      <c r="G452" s="239">
        <f t="shared" si="55"/>
        <v>0</v>
      </c>
      <c r="H452" s="239">
        <f t="shared" si="55"/>
        <v>0</v>
      </c>
      <c r="I452" s="239">
        <f t="shared" si="55"/>
        <v>0</v>
      </c>
      <c r="J452" s="239">
        <f t="shared" si="55"/>
        <v>0</v>
      </c>
      <c r="K452" s="239">
        <f t="shared" si="55"/>
        <v>0</v>
      </c>
      <c r="L452" s="239">
        <f t="shared" si="55"/>
        <v>0</v>
      </c>
      <c r="M452" s="239">
        <f t="shared" si="55"/>
        <v>0</v>
      </c>
      <c r="N452" s="239">
        <f t="shared" si="55"/>
        <v>0</v>
      </c>
      <c r="O452" s="239">
        <f t="shared" si="55"/>
        <v>0</v>
      </c>
      <c r="P452" s="177"/>
      <c r="Q452" s="492"/>
      <c r="R452" s="177"/>
      <c r="S452" s="177"/>
      <c r="T452" s="178"/>
      <c r="U452" s="177"/>
    </row>
    <row r="453" spans="1:21" ht="16.5" thickBot="1">
      <c r="A453" s="182" t="s">
        <v>32</v>
      </c>
      <c r="B453" s="250" t="s">
        <v>21</v>
      </c>
      <c r="C453" s="248" t="s">
        <v>22</v>
      </c>
      <c r="D453" s="248"/>
      <c r="E453" s="248"/>
      <c r="F453" s="248"/>
      <c r="G453" s="248"/>
      <c r="H453" s="248"/>
      <c r="I453" s="248"/>
      <c r="J453" s="248"/>
      <c r="K453" s="249"/>
      <c r="L453" s="249"/>
      <c r="M453" s="249"/>
      <c r="N453" s="249"/>
      <c r="O453" s="249"/>
      <c r="P453" s="177"/>
      <c r="Q453" s="492"/>
      <c r="R453" s="177"/>
      <c r="S453" s="177"/>
      <c r="T453" s="178"/>
      <c r="U453" s="177"/>
    </row>
    <row r="454" spans="1:21" ht="16.5" thickBot="1">
      <c r="A454" s="182" t="s">
        <v>33</v>
      </c>
      <c r="B454" s="250" t="s">
        <v>24</v>
      </c>
      <c r="C454" s="248" t="s">
        <v>22</v>
      </c>
      <c r="D454" s="248"/>
      <c r="E454" s="248"/>
      <c r="F454" s="248"/>
      <c r="G454" s="248"/>
      <c r="H454" s="248"/>
      <c r="I454" s="248"/>
      <c r="J454" s="248"/>
      <c r="K454" s="249"/>
      <c r="L454" s="249"/>
      <c r="M454" s="249"/>
      <c r="N454" s="249"/>
      <c r="O454" s="249"/>
      <c r="P454" s="177"/>
      <c r="Q454" s="492"/>
      <c r="R454" s="177"/>
      <c r="S454" s="177"/>
      <c r="T454" s="178"/>
      <c r="U454" s="177"/>
    </row>
    <row r="455" spans="1:21" ht="16.5" thickBot="1">
      <c r="A455" s="182" t="s">
        <v>34</v>
      </c>
      <c r="B455" s="250" t="s">
        <v>35</v>
      </c>
      <c r="C455" s="248" t="s">
        <v>22</v>
      </c>
      <c r="D455" s="248"/>
      <c r="E455" s="248"/>
      <c r="F455" s="248"/>
      <c r="G455" s="248"/>
      <c r="H455" s="248"/>
      <c r="I455" s="248"/>
      <c r="J455" s="248"/>
      <c r="K455" s="249"/>
      <c r="L455" s="249"/>
      <c r="M455" s="249"/>
      <c r="N455" s="249"/>
      <c r="O455" s="249"/>
      <c r="P455" s="177"/>
      <c r="Q455" s="492"/>
      <c r="R455" s="177"/>
      <c r="S455" s="177"/>
      <c r="T455" s="178"/>
      <c r="U455" s="177"/>
    </row>
    <row r="456" spans="1:21" ht="16.5" thickBot="1">
      <c r="A456" s="182" t="s">
        <v>36</v>
      </c>
      <c r="B456" s="250" t="s">
        <v>29</v>
      </c>
      <c r="C456" s="248" t="s">
        <v>22</v>
      </c>
      <c r="D456" s="248"/>
      <c r="E456" s="248"/>
      <c r="F456" s="248"/>
      <c r="G456" s="248"/>
      <c r="H456" s="248"/>
      <c r="I456" s="248"/>
      <c r="J456" s="248"/>
      <c r="K456" s="249"/>
      <c r="L456" s="249"/>
      <c r="M456" s="249"/>
      <c r="N456" s="249"/>
      <c r="O456" s="249"/>
      <c r="P456" s="177"/>
      <c r="Q456" s="492"/>
      <c r="R456" s="177"/>
      <c r="S456" s="177"/>
      <c r="T456" s="178"/>
      <c r="U456" s="177"/>
    </row>
    <row r="457" spans="1:21" ht="26.25" thickBot="1">
      <c r="A457" s="490" t="s">
        <v>37</v>
      </c>
      <c r="B457" s="493" t="s">
        <v>38</v>
      </c>
      <c r="C457" s="239" t="s">
        <v>22</v>
      </c>
      <c r="D457" s="239"/>
      <c r="E457" s="215"/>
      <c r="F457" s="239"/>
      <c r="G457" s="239"/>
      <c r="H457" s="239"/>
      <c r="I457" s="239"/>
      <c r="J457" s="239"/>
      <c r="K457" s="215"/>
      <c r="L457" s="215"/>
      <c r="M457" s="215"/>
      <c r="N457" s="215"/>
      <c r="O457" s="215"/>
      <c r="P457" s="177"/>
      <c r="Q457" s="492"/>
      <c r="R457" s="177"/>
      <c r="S457" s="177"/>
      <c r="T457" s="178"/>
      <c r="U457" s="177"/>
    </row>
    <row r="458" spans="1:21" ht="26.25" thickBot="1">
      <c r="A458" s="490" t="s">
        <v>39</v>
      </c>
      <c r="B458" s="493" t="s">
        <v>40</v>
      </c>
      <c r="C458" s="239" t="s">
        <v>22</v>
      </c>
      <c r="D458" s="239"/>
      <c r="E458" s="215"/>
      <c r="F458" s="239"/>
      <c r="G458" s="239"/>
      <c r="H458" s="239"/>
      <c r="I458" s="239"/>
      <c r="J458" s="239"/>
      <c r="K458" s="215"/>
      <c r="L458" s="215"/>
      <c r="M458" s="215"/>
      <c r="N458" s="215"/>
      <c r="O458" s="215"/>
      <c r="P458" s="177"/>
      <c r="Q458" s="492"/>
      <c r="R458" s="177"/>
      <c r="S458" s="177"/>
      <c r="T458" s="178"/>
      <c r="U458" s="177"/>
    </row>
    <row r="459" spans="1:21" ht="26.25" thickBot="1">
      <c r="A459" s="490">
        <v>6</v>
      </c>
      <c r="B459" s="491" t="s">
        <v>46</v>
      </c>
      <c r="C459" s="239" t="s">
        <v>22</v>
      </c>
      <c r="D459" s="239"/>
      <c r="E459" s="215"/>
      <c r="F459" s="239"/>
      <c r="G459" s="239"/>
      <c r="H459" s="239"/>
      <c r="I459" s="239"/>
      <c r="J459" s="239"/>
      <c r="K459" s="215"/>
      <c r="L459" s="215"/>
      <c r="M459" s="215"/>
      <c r="N459" s="215"/>
      <c r="O459" s="215"/>
      <c r="P459" s="177"/>
      <c r="Q459" s="492"/>
      <c r="R459" s="177"/>
      <c r="S459" s="177"/>
      <c r="T459" s="178"/>
      <c r="U459" s="177"/>
    </row>
    <row r="460" spans="1:21" ht="16.5" thickBot="1">
      <c r="A460" s="490">
        <v>7</v>
      </c>
      <c r="B460" s="491" t="s">
        <v>47</v>
      </c>
      <c r="C460" s="239" t="s">
        <v>22</v>
      </c>
      <c r="D460" s="407">
        <v>540</v>
      </c>
      <c r="E460" s="494">
        <f>K460+L460+M460+N460+O460</f>
        <v>1600</v>
      </c>
      <c r="F460" s="239"/>
      <c r="G460" s="239"/>
      <c r="H460" s="239"/>
      <c r="I460" s="239"/>
      <c r="J460" s="239"/>
      <c r="K460" s="495"/>
      <c r="L460" s="494">
        <v>400</v>
      </c>
      <c r="M460" s="494">
        <v>400</v>
      </c>
      <c r="N460" s="494">
        <v>400</v>
      </c>
      <c r="O460" s="494">
        <v>400</v>
      </c>
      <c r="P460" s="177" t="b">
        <f>E460=K460+L460+M460+N460+O460</f>
        <v>1</v>
      </c>
      <c r="Q460" s="12"/>
      <c r="R460" s="177"/>
      <c r="S460" s="177"/>
      <c r="T460" s="178"/>
      <c r="U460" s="177"/>
    </row>
    <row r="461" spans="1:21" ht="16.5" thickBot="1">
      <c r="A461" s="490">
        <v>8</v>
      </c>
      <c r="B461" s="491" t="s">
        <v>48</v>
      </c>
      <c r="C461" s="239" t="s">
        <v>22</v>
      </c>
      <c r="D461" s="239"/>
      <c r="E461" s="215"/>
      <c r="F461" s="239"/>
      <c r="G461" s="239"/>
      <c r="H461" s="239"/>
      <c r="I461" s="239"/>
      <c r="J461" s="239"/>
      <c r="K461" s="215"/>
      <c r="L461" s="215"/>
      <c r="M461" s="215"/>
      <c r="N461" s="215"/>
      <c r="O461" s="215"/>
      <c r="P461" s="177" t="b">
        <f>E461=K461+L461+M461+N461+O461</f>
        <v>1</v>
      </c>
      <c r="Q461" s="492"/>
      <c r="R461" s="177"/>
      <c r="S461" s="177"/>
      <c r="T461" s="178"/>
      <c r="U461" s="177"/>
    </row>
    <row r="462" spans="1:21" ht="16.5" thickBot="1">
      <c r="A462" s="490">
        <v>9</v>
      </c>
      <c r="B462" s="491" t="s">
        <v>49</v>
      </c>
      <c r="C462" s="239" t="s">
        <v>22</v>
      </c>
      <c r="D462" s="239"/>
      <c r="E462" s="494"/>
      <c r="F462" s="239"/>
      <c r="G462" s="239"/>
      <c r="H462" s="239"/>
      <c r="I462" s="239"/>
      <c r="J462" s="239"/>
      <c r="K462" s="239"/>
      <c r="L462" s="239"/>
      <c r="M462" s="239"/>
      <c r="N462" s="239"/>
      <c r="O462" s="239"/>
      <c r="P462" s="177" t="b">
        <f>E462=K462+L462+M462+N462+O462</f>
        <v>1</v>
      </c>
      <c r="Q462" s="163"/>
      <c r="R462" s="177"/>
      <c r="S462" s="177"/>
      <c r="T462" s="178"/>
      <c r="U462" s="177"/>
    </row>
    <row r="463" spans="1:21" ht="16.5" thickBot="1">
      <c r="A463" s="490">
        <v>10</v>
      </c>
      <c r="B463" s="491" t="s">
        <v>50</v>
      </c>
      <c r="C463" s="239" t="s">
        <v>22</v>
      </c>
      <c r="D463" s="239">
        <v>0</v>
      </c>
      <c r="E463" s="215"/>
      <c r="F463" s="239"/>
      <c r="G463" s="239"/>
      <c r="H463" s="239"/>
      <c r="I463" s="239"/>
      <c r="J463" s="239"/>
      <c r="K463" s="215"/>
      <c r="L463" s="215"/>
      <c r="M463" s="215"/>
      <c r="N463" s="215"/>
      <c r="O463" s="215"/>
      <c r="P463" s="177" t="b">
        <f>E463=K463+L463+M463+N463+O463</f>
        <v>1</v>
      </c>
      <c r="Q463" s="492"/>
      <c r="R463" s="177"/>
      <c r="S463" s="177"/>
      <c r="T463" s="178"/>
      <c r="U463" s="177"/>
    </row>
    <row r="464" spans="1:21" ht="19.5" thickBot="1">
      <c r="A464" s="496"/>
      <c r="B464" s="497" t="s">
        <v>4</v>
      </c>
      <c r="C464" s="497"/>
      <c r="D464" s="498">
        <f t="shared" ref="D464:O464" si="56">D447+D452+D457+D458+D459+D460+D461+D462+D463</f>
        <v>540</v>
      </c>
      <c r="E464" s="498">
        <f t="shared" si="56"/>
        <v>1600</v>
      </c>
      <c r="F464" s="499">
        <f t="shared" si="56"/>
        <v>0</v>
      </c>
      <c r="G464" s="499">
        <f t="shared" si="56"/>
        <v>0</v>
      </c>
      <c r="H464" s="499">
        <f t="shared" si="56"/>
        <v>0</v>
      </c>
      <c r="I464" s="499">
        <f t="shared" si="56"/>
        <v>0</v>
      </c>
      <c r="J464" s="499">
        <f t="shared" si="56"/>
        <v>0</v>
      </c>
      <c r="K464" s="499"/>
      <c r="L464" s="499">
        <f t="shared" si="56"/>
        <v>400</v>
      </c>
      <c r="M464" s="499">
        <f t="shared" si="56"/>
        <v>400</v>
      </c>
      <c r="N464" s="499">
        <f t="shared" si="56"/>
        <v>400</v>
      </c>
      <c r="O464" s="499">
        <f t="shared" si="56"/>
        <v>400</v>
      </c>
      <c r="P464" s="177" t="b">
        <f>E464=K464+L464+M464+N464+O464</f>
        <v>1</v>
      </c>
      <c r="Q464" s="499"/>
      <c r="R464" s="500"/>
      <c r="S464" s="177"/>
      <c r="T464" s="178"/>
      <c r="U464" s="177"/>
    </row>
    <row r="465" spans="1:21">
      <c r="A465" s="410"/>
      <c r="B465" s="21"/>
      <c r="C465" s="410"/>
      <c r="D465" s="410"/>
      <c r="E465" s="410"/>
      <c r="F465" s="21"/>
      <c r="G465" s="21"/>
      <c r="H465" s="21"/>
      <c r="I465" s="21"/>
      <c r="J465" s="410"/>
      <c r="K465" s="21"/>
      <c r="L465" s="21"/>
      <c r="M465" s="21"/>
      <c r="N465" s="21"/>
      <c r="O465" s="21"/>
      <c r="P465" s="501"/>
      <c r="Q465" s="21"/>
      <c r="R465" s="410"/>
      <c r="S465" s="410"/>
      <c r="T465" s="502"/>
      <c r="U465" s="487"/>
    </row>
    <row r="466" spans="1:21">
      <c r="A466" s="465" t="s">
        <v>913</v>
      </c>
      <c r="B466" s="465"/>
      <c r="C466" s="465"/>
      <c r="D466" s="465"/>
      <c r="E466" s="465"/>
      <c r="F466" s="465"/>
      <c r="G466" s="465"/>
      <c r="H466" s="465"/>
      <c r="I466" s="465"/>
      <c r="J466" s="465"/>
      <c r="K466" s="465"/>
      <c r="L466" s="465"/>
      <c r="M466" s="465"/>
      <c r="N466" s="465"/>
      <c r="O466" s="465"/>
      <c r="P466" s="465"/>
      <c r="Q466" s="465"/>
      <c r="R466" s="465"/>
      <c r="S466" s="465"/>
      <c r="T466" s="503"/>
      <c r="U466" s="504"/>
    </row>
    <row r="467" spans="1:21">
      <c r="A467" s="465" t="s">
        <v>914</v>
      </c>
      <c r="B467" s="465"/>
      <c r="C467" s="465"/>
      <c r="D467" s="465"/>
      <c r="E467" s="465"/>
      <c r="F467" s="465"/>
      <c r="G467" s="504"/>
      <c r="H467" s="504"/>
      <c r="I467" s="504"/>
      <c r="J467" s="504"/>
      <c r="K467" s="504"/>
      <c r="L467" s="504"/>
      <c r="M467" s="504"/>
      <c r="N467" s="504"/>
      <c r="O467" s="504"/>
      <c r="P467" s="504"/>
      <c r="Q467" s="504"/>
      <c r="R467" s="504"/>
      <c r="S467" s="504"/>
      <c r="T467" s="505"/>
      <c r="U467" s="506"/>
    </row>
    <row r="468" spans="1:21" ht="18.75">
      <c r="A468" s="507"/>
      <c r="B468" s="465"/>
      <c r="C468" s="508"/>
      <c r="D468" s="507"/>
      <c r="E468" s="507"/>
      <c r="F468" s="508"/>
      <c r="G468" s="508"/>
      <c r="H468" s="508"/>
      <c r="I468" s="509"/>
      <c r="J468" s="509"/>
      <c r="K468" s="509"/>
      <c r="L468" s="508"/>
      <c r="M468" s="508"/>
      <c r="N468" s="508"/>
      <c r="O468" s="508"/>
      <c r="P468" s="508"/>
      <c r="Q468" s="508"/>
      <c r="R468" s="508"/>
      <c r="S468" s="508"/>
      <c r="T468" s="510"/>
      <c r="U468" s="511"/>
    </row>
    <row r="469" spans="1:21" ht="18.75">
      <c r="A469" s="512"/>
      <c r="B469" s="513" t="s">
        <v>915</v>
      </c>
      <c r="C469" s="514"/>
      <c r="D469" s="509"/>
      <c r="E469" s="509"/>
      <c r="F469" s="514"/>
      <c r="G469" s="514"/>
      <c r="H469" s="514"/>
      <c r="I469" s="515"/>
      <c r="J469" s="512"/>
      <c r="K469" s="512"/>
      <c r="L469" s="514"/>
      <c r="M469" s="514"/>
      <c r="N469" s="514"/>
      <c r="O469" s="514"/>
      <c r="P469" s="514"/>
      <c r="Q469" s="514"/>
      <c r="R469" s="514"/>
      <c r="S469" s="514"/>
      <c r="T469" s="516"/>
      <c r="U469" s="514"/>
    </row>
    <row r="470" spans="1:21" ht="18.75">
      <c r="A470" s="461"/>
      <c r="B470" s="517" t="s">
        <v>916</v>
      </c>
      <c r="C470" s="514"/>
      <c r="D470" s="518" t="s">
        <v>917</v>
      </c>
      <c r="E470" s="518"/>
      <c r="F470" s="514"/>
      <c r="G470" s="514"/>
      <c r="H470" s="514"/>
      <c r="I470" s="518"/>
      <c r="J470" s="518"/>
      <c r="K470" s="518"/>
      <c r="L470" s="514"/>
      <c r="M470" s="514"/>
      <c r="N470" s="514"/>
      <c r="O470" s="514"/>
      <c r="P470" s="514"/>
      <c r="Q470" s="514"/>
      <c r="R470" s="514"/>
      <c r="S470" s="514"/>
      <c r="T470" s="516"/>
      <c r="U470" s="514"/>
    </row>
    <row r="471" spans="1:21" ht="18.75">
      <c r="A471" s="461"/>
      <c r="B471" s="519"/>
      <c r="C471" s="514"/>
      <c r="D471" s="514"/>
      <c r="E471" s="514"/>
      <c r="F471" s="514"/>
      <c r="G471" s="514"/>
      <c r="H471" s="514"/>
      <c r="I471" s="514"/>
      <c r="J471" s="514"/>
      <c r="K471" s="514"/>
      <c r="L471" s="514"/>
      <c r="M471" s="514"/>
      <c r="N471" s="514"/>
      <c r="O471" s="514"/>
      <c r="P471" s="514"/>
      <c r="Q471" s="514"/>
      <c r="R471" s="514"/>
      <c r="S471" s="514"/>
      <c r="T471" s="516"/>
      <c r="U471" s="514"/>
    </row>
    <row r="472" spans="1:21" ht="18.75">
      <c r="A472" s="461"/>
      <c r="B472" s="519"/>
      <c r="C472" s="514"/>
      <c r="D472" s="514"/>
      <c r="E472" s="514"/>
      <c r="F472" s="514"/>
      <c r="G472" s="514"/>
      <c r="H472" s="514"/>
      <c r="I472" s="514"/>
      <c r="J472" s="514"/>
      <c r="K472" s="514"/>
      <c r="L472" s="514"/>
      <c r="M472" s="514"/>
      <c r="N472" s="514"/>
      <c r="O472" s="514"/>
      <c r="P472" s="514"/>
      <c r="Q472" s="514"/>
      <c r="R472" s="514"/>
      <c r="S472" s="514"/>
      <c r="T472" s="516"/>
      <c r="U472" s="511"/>
    </row>
    <row r="473" spans="1:21" ht="18.75">
      <c r="A473" s="461"/>
      <c r="B473" s="519"/>
      <c r="C473" s="512"/>
      <c r="D473" s="461"/>
      <c r="E473" s="461"/>
      <c r="F473" s="520"/>
      <c r="G473" s="520"/>
      <c r="H473" s="520"/>
      <c r="I473" s="520"/>
      <c r="J473" s="521"/>
      <c r="K473" s="521"/>
      <c r="L473" s="521"/>
      <c r="M473" s="521"/>
      <c r="N473" s="521"/>
      <c r="O473" s="521"/>
      <c r="P473" s="520"/>
      <c r="Q473" s="520"/>
      <c r="R473" s="520"/>
      <c r="S473" s="520"/>
      <c r="T473" s="522"/>
      <c r="U473" s="511"/>
    </row>
    <row r="474" spans="1:21" ht="18.75">
      <c r="A474" s="461"/>
      <c r="B474" s="519"/>
      <c r="C474" s="512"/>
      <c r="D474" s="520"/>
      <c r="E474" s="520"/>
      <c r="F474" s="520"/>
      <c r="G474" s="520"/>
      <c r="H474" s="520"/>
      <c r="I474" s="520"/>
      <c r="J474" s="521"/>
      <c r="K474" s="521"/>
      <c r="L474" s="521"/>
      <c r="M474" s="521"/>
      <c r="N474" s="521"/>
      <c r="O474" s="521"/>
      <c r="P474" s="520"/>
      <c r="Q474" s="520"/>
      <c r="R474" s="520"/>
      <c r="S474" s="520"/>
      <c r="T474" s="522"/>
      <c r="U474" s="511"/>
    </row>
    <row r="475" spans="1:21" ht="18.75">
      <c r="A475" s="461"/>
      <c r="B475" s="517" t="s">
        <v>918</v>
      </c>
      <c r="C475" s="512"/>
      <c r="D475" s="509"/>
      <c r="E475" s="509"/>
      <c r="F475" s="520"/>
      <c r="G475" s="520"/>
      <c r="H475" s="520"/>
      <c r="I475" s="520"/>
      <c r="J475" s="521"/>
      <c r="K475" s="521"/>
      <c r="L475" s="521"/>
      <c r="M475" s="521"/>
      <c r="N475" s="521"/>
      <c r="O475" s="521"/>
      <c r="P475" s="520"/>
      <c r="Q475" s="520"/>
      <c r="R475" s="520"/>
      <c r="S475" s="520"/>
      <c r="T475" s="522"/>
      <c r="U475" s="511"/>
    </row>
    <row r="476" spans="1:21" ht="18.75">
      <c r="A476" s="461"/>
      <c r="B476" s="517" t="s">
        <v>919</v>
      </c>
      <c r="C476" s="512"/>
      <c r="D476" s="518" t="s">
        <v>920</v>
      </c>
      <c r="E476" s="518"/>
      <c r="F476" s="520"/>
      <c r="G476" s="520"/>
      <c r="H476" s="520"/>
      <c r="I476" s="520"/>
      <c r="J476" s="521"/>
      <c r="K476" s="521"/>
      <c r="L476" s="521"/>
      <c r="M476" s="521"/>
      <c r="N476" s="521"/>
      <c r="O476" s="521"/>
      <c r="P476" s="520"/>
      <c r="Q476" s="520"/>
      <c r="R476" s="520"/>
      <c r="S476" s="520"/>
      <c r="T476" s="522"/>
      <c r="U476" s="523"/>
    </row>
    <row r="477" spans="1:21" ht="18.75">
      <c r="A477" s="465"/>
      <c r="B477" s="524"/>
      <c r="C477" s="525"/>
      <c r="D477" s="518" t="s">
        <v>921</v>
      </c>
      <c r="E477" s="518"/>
      <c r="F477" s="526"/>
      <c r="G477" s="526"/>
      <c r="H477" s="526"/>
      <c r="I477" s="526"/>
      <c r="J477" s="527"/>
      <c r="K477" s="527"/>
      <c r="L477" s="527"/>
      <c r="M477" s="527"/>
      <c r="N477" s="527"/>
      <c r="O477" s="527"/>
      <c r="P477" s="526"/>
      <c r="Q477" s="526"/>
      <c r="R477" s="526"/>
      <c r="S477" s="526"/>
      <c r="T477" s="528"/>
      <c r="U477" s="523"/>
    </row>
    <row r="478" spans="1:21">
      <c r="A478" s="465"/>
      <c r="B478" s="524"/>
      <c r="C478" s="525"/>
      <c r="D478" s="526"/>
      <c r="E478" s="526"/>
      <c r="F478" s="526"/>
      <c r="G478" s="526"/>
      <c r="H478" s="526"/>
      <c r="I478" s="526"/>
      <c r="J478" s="527"/>
      <c r="K478" s="527"/>
      <c r="L478" s="527"/>
      <c r="M478" s="527"/>
      <c r="N478" s="527"/>
      <c r="O478" s="527"/>
      <c r="P478" s="526"/>
      <c r="Q478" s="526"/>
      <c r="R478" s="526"/>
      <c r="S478" s="526"/>
      <c r="T478" s="528"/>
      <c r="U478" s="523"/>
    </row>
    <row r="479" spans="1:21">
      <c r="A479" s="465"/>
      <c r="B479" s="524"/>
      <c r="C479" s="525"/>
      <c r="D479" s="526"/>
      <c r="E479" s="526"/>
      <c r="F479" s="526"/>
      <c r="G479" s="526"/>
      <c r="H479" s="526"/>
      <c r="I479" s="526"/>
      <c r="J479" s="527"/>
      <c r="K479" s="527"/>
      <c r="L479" s="527"/>
      <c r="M479" s="527"/>
      <c r="N479" s="527"/>
      <c r="O479" s="527"/>
      <c r="P479" s="526"/>
      <c r="Q479" s="526"/>
      <c r="R479" s="526"/>
      <c r="S479" s="526"/>
      <c r="T479" s="528"/>
      <c r="U479" s="529"/>
    </row>
    <row r="480" spans="1:21">
      <c r="A480" s="487"/>
      <c r="B480" s="528" t="s">
        <v>922</v>
      </c>
      <c r="C480" s="529"/>
      <c r="D480" s="529"/>
      <c r="E480" s="529"/>
      <c r="F480" s="529"/>
      <c r="G480" s="529"/>
      <c r="H480" s="529"/>
      <c r="I480" s="529"/>
      <c r="J480" s="529"/>
      <c r="K480" s="529"/>
      <c r="L480" s="529"/>
      <c r="M480" s="529"/>
      <c r="N480" s="529"/>
      <c r="O480" s="529"/>
      <c r="P480" s="529"/>
      <c r="Q480" s="529"/>
      <c r="R480" s="529"/>
      <c r="S480" s="529"/>
      <c r="T480" s="530"/>
      <c r="U480" s="465"/>
    </row>
    <row r="481" spans="1:21">
      <c r="A481" s="487"/>
      <c r="B481" s="531"/>
      <c r="C481" s="465"/>
      <c r="D481" s="465"/>
      <c r="E481" s="465"/>
      <c r="F481" s="465"/>
      <c r="G481" s="465"/>
      <c r="H481" s="465"/>
      <c r="I481" s="465"/>
      <c r="J481" s="465"/>
      <c r="K481" s="465"/>
      <c r="L481" s="465"/>
      <c r="M481" s="465"/>
      <c r="N481" s="465"/>
      <c r="O481" s="465"/>
      <c r="P481" s="465"/>
      <c r="Q481" s="465"/>
      <c r="R481" s="465"/>
      <c r="S481" s="465"/>
      <c r="T481" s="503"/>
      <c r="U481" s="410"/>
    </row>
    <row r="482" spans="1:21">
      <c r="A482" s="410"/>
      <c r="B482" s="21"/>
      <c r="C482" s="410"/>
      <c r="D482" s="410"/>
      <c r="E482" s="410"/>
      <c r="F482" s="21"/>
      <c r="G482" s="21"/>
      <c r="H482" s="21"/>
      <c r="I482" s="21"/>
      <c r="J482" s="410"/>
      <c r="K482" s="21"/>
      <c r="L482" s="21"/>
      <c r="M482" s="21"/>
      <c r="N482" s="21"/>
      <c r="O482" s="21"/>
      <c r="P482" s="501"/>
      <c r="Q482" s="21"/>
      <c r="R482" s="410"/>
      <c r="S482" s="410"/>
      <c r="T482" s="502"/>
      <c r="U482" s="410"/>
    </row>
    <row r="483" spans="1:21">
      <c r="A483" s="410"/>
      <c r="B483" s="21"/>
      <c r="C483" s="410"/>
      <c r="D483" s="410"/>
      <c r="E483" s="410"/>
      <c r="F483" s="21"/>
      <c r="G483" s="21"/>
      <c r="H483" s="21"/>
      <c r="I483" s="21"/>
      <c r="J483" s="410"/>
      <c r="K483" s="21"/>
      <c r="L483" s="21"/>
      <c r="M483" s="21"/>
      <c r="N483" s="21"/>
      <c r="O483" s="21"/>
      <c r="P483" s="501"/>
      <c r="Q483" s="21"/>
      <c r="R483" s="410"/>
      <c r="S483" s="410"/>
      <c r="T483" s="502"/>
      <c r="U483" s="410"/>
    </row>
    <row r="484" spans="1:21">
      <c r="A484" s="410"/>
      <c r="B484" s="21"/>
      <c r="C484" s="410"/>
      <c r="D484" s="410"/>
      <c r="E484" s="410"/>
      <c r="F484" s="21"/>
      <c r="G484" s="21"/>
      <c r="H484" s="21"/>
      <c r="I484" s="21"/>
      <c r="J484" s="410"/>
      <c r="K484" s="21"/>
      <c r="L484" s="21"/>
      <c r="M484" s="21"/>
      <c r="N484" s="21"/>
      <c r="O484" s="21"/>
      <c r="P484" s="501"/>
      <c r="Q484" s="21"/>
      <c r="R484" s="410"/>
      <c r="S484" s="410"/>
      <c r="T484" s="502"/>
    </row>
  </sheetData>
  <mergeCells count="247">
    <mergeCell ref="D476:E476"/>
    <mergeCell ref="D477:E477"/>
    <mergeCell ref="J444:J445"/>
    <mergeCell ref="I468:K468"/>
    <mergeCell ref="D469:E469"/>
    <mergeCell ref="D470:E470"/>
    <mergeCell ref="I470:K470"/>
    <mergeCell ref="D475:E475"/>
    <mergeCell ref="Q443:Q445"/>
    <mergeCell ref="R443:R445"/>
    <mergeCell ref="S443:S445"/>
    <mergeCell ref="T443:T445"/>
    <mergeCell ref="U443:U445"/>
    <mergeCell ref="D444:D445"/>
    <mergeCell ref="E444:E445"/>
    <mergeCell ref="G444:G445"/>
    <mergeCell ref="H444:H445"/>
    <mergeCell ref="I444:I445"/>
    <mergeCell ref="A442:T442"/>
    <mergeCell ref="A443:A445"/>
    <mergeCell ref="B443:B445"/>
    <mergeCell ref="C443:C445"/>
    <mergeCell ref="D443:E443"/>
    <mergeCell ref="F443:F445"/>
    <mergeCell ref="G443:H443"/>
    <mergeCell ref="I443:J443"/>
    <mergeCell ref="K443:O444"/>
    <mergeCell ref="P443:P445"/>
    <mergeCell ref="T380:T381"/>
    <mergeCell ref="U380:U381"/>
    <mergeCell ref="A397:A398"/>
    <mergeCell ref="C397:C398"/>
    <mergeCell ref="D397:D398"/>
    <mergeCell ref="D403:D404"/>
    <mergeCell ref="I380:J380"/>
    <mergeCell ref="K380:O380"/>
    <mergeCell ref="P380:P382"/>
    <mergeCell ref="Q380:Q381"/>
    <mergeCell ref="R380:R381"/>
    <mergeCell ref="S380:S381"/>
    <mergeCell ref="A348:A351"/>
    <mergeCell ref="C348:C351"/>
    <mergeCell ref="D348:D351"/>
    <mergeCell ref="A379:T379"/>
    <mergeCell ref="A380:A381"/>
    <mergeCell ref="B380:B381"/>
    <mergeCell ref="C380:C381"/>
    <mergeCell ref="D380:E380"/>
    <mergeCell ref="F380:F381"/>
    <mergeCell ref="G380:H380"/>
    <mergeCell ref="A340:A343"/>
    <mergeCell ref="C340:C343"/>
    <mergeCell ref="D340:D343"/>
    <mergeCell ref="A345:A347"/>
    <mergeCell ref="C345:C347"/>
    <mergeCell ref="D345:D347"/>
    <mergeCell ref="P326:P328"/>
    <mergeCell ref="Q326:Q327"/>
    <mergeCell ref="R326:R327"/>
    <mergeCell ref="S326:S327"/>
    <mergeCell ref="T326:T327"/>
    <mergeCell ref="U326:U327"/>
    <mergeCell ref="A306:A307"/>
    <mergeCell ref="A325:T325"/>
    <mergeCell ref="A326:A327"/>
    <mergeCell ref="B326:B327"/>
    <mergeCell ref="C326:C327"/>
    <mergeCell ref="D326:E326"/>
    <mergeCell ref="F326:F327"/>
    <mergeCell ref="G326:H326"/>
    <mergeCell ref="I326:J326"/>
    <mergeCell ref="K326:O326"/>
    <mergeCell ref="A293:A294"/>
    <mergeCell ref="D293:D294"/>
    <mergeCell ref="A299:A300"/>
    <mergeCell ref="D299:D300"/>
    <mergeCell ref="A304:A305"/>
    <mergeCell ref="D304:D305"/>
    <mergeCell ref="A280:A283"/>
    <mergeCell ref="D280:D283"/>
    <mergeCell ref="A284:A285"/>
    <mergeCell ref="D284:D285"/>
    <mergeCell ref="A287:A289"/>
    <mergeCell ref="D287:D289"/>
    <mergeCell ref="A271:A272"/>
    <mergeCell ref="D271:D272"/>
    <mergeCell ref="A273:A275"/>
    <mergeCell ref="D273:D275"/>
    <mergeCell ref="A276:A278"/>
    <mergeCell ref="D276:D278"/>
    <mergeCell ref="A262:A263"/>
    <mergeCell ref="C262:C263"/>
    <mergeCell ref="D262:D263"/>
    <mergeCell ref="A264:A265"/>
    <mergeCell ref="D264:D265"/>
    <mergeCell ref="A267:A269"/>
    <mergeCell ref="D267:D269"/>
    <mergeCell ref="T247:T249"/>
    <mergeCell ref="U247:U249"/>
    <mergeCell ref="D248:D249"/>
    <mergeCell ref="E248:E249"/>
    <mergeCell ref="G248:G249"/>
    <mergeCell ref="H248:H249"/>
    <mergeCell ref="I248:I249"/>
    <mergeCell ref="J248:J249"/>
    <mergeCell ref="I247:J247"/>
    <mergeCell ref="K247:O248"/>
    <mergeCell ref="P247:P249"/>
    <mergeCell ref="Q247:Q249"/>
    <mergeCell ref="R247:R249"/>
    <mergeCell ref="S247:S249"/>
    <mergeCell ref="A247:A249"/>
    <mergeCell ref="B247:B249"/>
    <mergeCell ref="C247:C249"/>
    <mergeCell ref="D247:E247"/>
    <mergeCell ref="F247:F249"/>
    <mergeCell ref="G247:H247"/>
    <mergeCell ref="A219:A220"/>
    <mergeCell ref="D219:D220"/>
    <mergeCell ref="D223:D225"/>
    <mergeCell ref="A226:A227"/>
    <mergeCell ref="D226:D227"/>
    <mergeCell ref="A246:U246"/>
    <mergeCell ref="A209:A211"/>
    <mergeCell ref="D209:D211"/>
    <mergeCell ref="A213:A214"/>
    <mergeCell ref="D213:D214"/>
    <mergeCell ref="A215:A217"/>
    <mergeCell ref="D215:D217"/>
    <mergeCell ref="A193:A195"/>
    <mergeCell ref="D193:D195"/>
    <mergeCell ref="A196:A200"/>
    <mergeCell ref="C196:C200"/>
    <mergeCell ref="D196:D200"/>
    <mergeCell ref="A203:A205"/>
    <mergeCell ref="C203:C204"/>
    <mergeCell ref="D203:D205"/>
    <mergeCell ref="A184:A188"/>
    <mergeCell ref="C184:C188"/>
    <mergeCell ref="D184:D188"/>
    <mergeCell ref="A189:A192"/>
    <mergeCell ref="C189:C192"/>
    <mergeCell ref="D189:D192"/>
    <mergeCell ref="A177:A180"/>
    <mergeCell ref="C177:C180"/>
    <mergeCell ref="D177:D180"/>
    <mergeCell ref="A181:A183"/>
    <mergeCell ref="C181:C183"/>
    <mergeCell ref="D181:D183"/>
    <mergeCell ref="A173:A174"/>
    <mergeCell ref="C173:C174"/>
    <mergeCell ref="D173:D174"/>
    <mergeCell ref="A175:A176"/>
    <mergeCell ref="C175:C176"/>
    <mergeCell ref="D175:D176"/>
    <mergeCell ref="A162:A166"/>
    <mergeCell ref="C162:C165"/>
    <mergeCell ref="D162:D166"/>
    <mergeCell ref="A167:A170"/>
    <mergeCell ref="D167:D170"/>
    <mergeCell ref="A171:A172"/>
    <mergeCell ref="C171:C172"/>
    <mergeCell ref="D171:D172"/>
    <mergeCell ref="D152:D153"/>
    <mergeCell ref="E152:E153"/>
    <mergeCell ref="G152:G153"/>
    <mergeCell ref="H152:H153"/>
    <mergeCell ref="I152:I153"/>
    <mergeCell ref="J152:J153"/>
    <mergeCell ref="P151:P153"/>
    <mergeCell ref="Q151:Q152"/>
    <mergeCell ref="R151:R152"/>
    <mergeCell ref="S151:S152"/>
    <mergeCell ref="T151:T152"/>
    <mergeCell ref="U151:U152"/>
    <mergeCell ref="J75:J76"/>
    <mergeCell ref="A150:U150"/>
    <mergeCell ref="A151:A153"/>
    <mergeCell ref="B151:B153"/>
    <mergeCell ref="C151:C153"/>
    <mergeCell ref="D151:E151"/>
    <mergeCell ref="F151:F153"/>
    <mergeCell ref="G151:H151"/>
    <mergeCell ref="I151:J151"/>
    <mergeCell ref="K151:O152"/>
    <mergeCell ref="Q74:Q76"/>
    <mergeCell ref="R74:R76"/>
    <mergeCell ref="S74:S76"/>
    <mergeCell ref="T74:T76"/>
    <mergeCell ref="U74:U76"/>
    <mergeCell ref="D75:D76"/>
    <mergeCell ref="E75:E76"/>
    <mergeCell ref="G75:G76"/>
    <mergeCell ref="H75:H76"/>
    <mergeCell ref="I75:I76"/>
    <mergeCell ref="A73:U73"/>
    <mergeCell ref="A74:A76"/>
    <mergeCell ref="B74:B76"/>
    <mergeCell ref="C74:C76"/>
    <mergeCell ref="D74:E74"/>
    <mergeCell ref="F74:F76"/>
    <mergeCell ref="G74:H74"/>
    <mergeCell ref="I74:J74"/>
    <mergeCell ref="K74:O75"/>
    <mergeCell ref="P74:P76"/>
    <mergeCell ref="A46:A47"/>
    <mergeCell ref="C46:C47"/>
    <mergeCell ref="D46:D47"/>
    <mergeCell ref="A51:A52"/>
    <mergeCell ref="C51:C52"/>
    <mergeCell ref="D51:D52"/>
    <mergeCell ref="A38:A40"/>
    <mergeCell ref="C38:C40"/>
    <mergeCell ref="D38:D40"/>
    <mergeCell ref="A43:A44"/>
    <mergeCell ref="C43:C44"/>
    <mergeCell ref="D43:D44"/>
    <mergeCell ref="P28:P30"/>
    <mergeCell ref="Q28:Q29"/>
    <mergeCell ref="R28:R29"/>
    <mergeCell ref="S28:S29"/>
    <mergeCell ref="T28:T29"/>
    <mergeCell ref="U28:U29"/>
    <mergeCell ref="A27:U27"/>
    <mergeCell ref="A28:A29"/>
    <mergeCell ref="B28:B29"/>
    <mergeCell ref="C28:C29"/>
    <mergeCell ref="D28:E28"/>
    <mergeCell ref="F28:F29"/>
    <mergeCell ref="G28:H28"/>
    <mergeCell ref="I28:J28"/>
    <mergeCell ref="K28:O28"/>
    <mergeCell ref="Q3:Q4"/>
    <mergeCell ref="R3:R4"/>
    <mergeCell ref="S3:S4"/>
    <mergeCell ref="T3:T4"/>
    <mergeCell ref="U3:U4"/>
    <mergeCell ref="A1:U2"/>
    <mergeCell ref="A3:A4"/>
    <mergeCell ref="B3:B4"/>
    <mergeCell ref="C3:C4"/>
    <mergeCell ref="D3:E3"/>
    <mergeCell ref="F3:F4"/>
    <mergeCell ref="G3:H3"/>
    <mergeCell ref="I3:J3"/>
    <mergeCell ref="K3:O3"/>
    <mergeCell ref="P3:P5"/>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2021-06-09T04:40:13Z</dcterms:modified>
</cp:coreProperties>
</file>